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D:\loredana.giurgiu\Desktop\HCL\hcl 58\Anexe 1-6\"/>
    </mc:Choice>
  </mc:AlternateContent>
  <xr:revisionPtr revIDLastSave="0" documentId="13_ncr:1_{69B0ADE8-7504-4D4C-857A-715E40476444}" xr6:coauthVersionLast="47" xr6:coauthVersionMax="47" xr10:uidLastSave="{00000000-0000-0000-0000-000000000000}"/>
  <bookViews>
    <workbookView xWindow="-120" yWindow="-120" windowWidth="29040" windowHeight="15840" tabRatio="500" xr2:uid="{00000000-000D-0000-FFFF-FFFF00000000}"/>
  </bookViews>
  <sheets>
    <sheet name="BVC 2023 sintetic (A1)" sheetId="1" r:id="rId1"/>
    <sheet name="BVC 2023 analitic (A2)" sheetId="2" r:id="rId2"/>
    <sheet name="Anexa 3 VT" sheetId="3" r:id="rId3"/>
    <sheet name="Anexa 4 INV" sheetId="4" r:id="rId4"/>
    <sheet name="Anexa 5" sheetId="5" r:id="rId5"/>
    <sheet name="Anexa 6 INV SP" sheetId="7" r:id="rId6"/>
  </sheets>
  <definedNames>
    <definedName name="_xlnm.Print_Area" localSheetId="2">'Anexa 3 VT'!$A$2:$H$22</definedName>
    <definedName name="_xlnm.Print_Area" localSheetId="3">'Anexa 4 INV'!$A$1:$I$69</definedName>
    <definedName name="_xlnm.Print_Area" localSheetId="4">'Anexa 5'!$A$1:$L$26</definedName>
    <definedName name="_xlnm.Print_Area" localSheetId="5">'Anexa 6 INV SP'!$A$2:$G$92</definedName>
    <definedName name="_xlnm.Print_Area" localSheetId="1">'BVC 2023 analitic (A2)'!$A$2:$P$193</definedName>
    <definedName name="_xlnm.Print_Area" localSheetId="0">'BVC 2023 sintetic (A1)'!$A$1:$M$75</definedName>
    <definedName name="_xlnm.Print_Titles" localSheetId="5">'Anexa 6 INV SP'!$11:$11</definedName>
    <definedName name="_xlnm.Print_Titles" localSheetId="1">'BVC 2023 analitic (A2)'!$9:$12</definedName>
    <definedName name="_xlnm.Print_Titles" localSheetId="0">'BVC 2023 sintetic (A1)'!$9:$11</definedName>
  </definedNames>
  <calcPr calcId="181029"/>
</workbook>
</file>

<file path=xl/calcChain.xml><?xml version="1.0" encoding="utf-8"?>
<calcChain xmlns="http://schemas.openxmlformats.org/spreadsheetml/2006/main">
  <c r="P116" i="2" l="1"/>
  <c r="O117" i="2"/>
  <c r="N166" i="2" l="1"/>
  <c r="N168" i="2"/>
  <c r="N163" i="2"/>
  <c r="M78" i="2"/>
  <c r="L78" i="2"/>
  <c r="N49" i="2"/>
  <c r="N131" i="2"/>
  <c r="N81" i="2"/>
  <c r="L56" i="2"/>
  <c r="N45" i="2"/>
  <c r="N47" i="2"/>
  <c r="L103" i="2"/>
  <c r="K103" i="2"/>
  <c r="N104" i="2"/>
  <c r="N101" i="2"/>
  <c r="M101" i="2"/>
  <c r="L101" i="2"/>
  <c r="N100" i="2"/>
  <c r="M100" i="2"/>
  <c r="L100" i="2"/>
  <c r="G51" i="4"/>
  <c r="G62" i="4"/>
  <c r="F89" i="7"/>
  <c r="F88" i="7"/>
  <c r="F78" i="7"/>
  <c r="F71" i="7"/>
  <c r="F64" i="7"/>
  <c r="F46" i="7"/>
  <c r="F56" i="7"/>
  <c r="F55" i="7"/>
  <c r="F54" i="7"/>
  <c r="F53" i="7"/>
  <c r="F52" i="7"/>
  <c r="F51" i="7"/>
  <c r="F50" i="7"/>
  <c r="F49" i="7"/>
  <c r="F57" i="7" s="1"/>
  <c r="F48" i="7"/>
  <c r="F44" i="7"/>
  <c r="F43" i="7"/>
  <c r="F42" i="7"/>
  <c r="F41" i="7"/>
  <c r="F40" i="7"/>
  <c r="F39" i="7"/>
  <c r="F38" i="7"/>
  <c r="F37" i="7"/>
  <c r="F36" i="7"/>
  <c r="F35" i="7"/>
  <c r="F32" i="7"/>
  <c r="F31" i="7"/>
  <c r="F30" i="7"/>
  <c r="F29" i="7"/>
  <c r="F28" i="7"/>
  <c r="F27" i="7"/>
  <c r="F26" i="7"/>
  <c r="F25" i="7"/>
  <c r="F24" i="7"/>
  <c r="F23" i="7"/>
  <c r="F33" i="7" s="1"/>
  <c r="F22" i="7"/>
  <c r="F21" i="7"/>
  <c r="F20" i="7"/>
  <c r="F19" i="7"/>
  <c r="F18" i="7"/>
  <c r="F45" i="7"/>
  <c r="F87" i="7"/>
  <c r="F86" i="7"/>
  <c r="F85" i="7"/>
  <c r="F83" i="7"/>
  <c r="F82" i="7"/>
  <c r="F81" i="7"/>
  <c r="F80" i="7"/>
  <c r="F79" i="7"/>
  <c r="F77" i="7"/>
  <c r="F76" i="7"/>
  <c r="F75" i="7"/>
  <c r="F74" i="7"/>
  <c r="F73" i="7"/>
  <c r="F72" i="7"/>
  <c r="F70" i="7"/>
  <c r="F69" i="7"/>
  <c r="F68" i="7"/>
  <c r="F67" i="7"/>
  <c r="F66" i="7"/>
  <c r="F65" i="7"/>
  <c r="F63" i="7"/>
  <c r="F62" i="7"/>
  <c r="F61" i="7"/>
  <c r="F60" i="7"/>
  <c r="F59" i="7"/>
  <c r="F58" i="7"/>
  <c r="F47" i="7"/>
  <c r="F34" i="7"/>
  <c r="F17" i="7"/>
  <c r="F16" i="7"/>
  <c r="F15" i="7"/>
  <c r="F14" i="7"/>
  <c r="F13" i="7"/>
  <c r="F62" i="4" l="1"/>
  <c r="G52" i="4"/>
  <c r="F54" i="4"/>
  <c r="F53" i="4"/>
  <c r="F25" i="4"/>
  <c r="F37" i="4"/>
  <c r="F47" i="4"/>
  <c r="F14" i="4" l="1"/>
  <c r="G17" i="4"/>
  <c r="G16" i="4"/>
  <c r="G25" i="4" l="1"/>
  <c r="I46" i="4" l="1"/>
  <c r="H46" i="4"/>
  <c r="H52" i="4" l="1"/>
  <c r="I52" i="4"/>
  <c r="F52" i="4"/>
  <c r="F51" i="4" s="1"/>
  <c r="H66" i="4"/>
  <c r="I66" i="4"/>
  <c r="G66" i="4"/>
  <c r="F63" i="4" l="1"/>
  <c r="I23" i="4"/>
  <c r="H23" i="4"/>
  <c r="I25" i="4"/>
  <c r="H25" i="4"/>
  <c r="K92" i="2" l="1"/>
  <c r="L92" i="2"/>
  <c r="H17" i="4"/>
  <c r="I17" i="4" s="1"/>
  <c r="G14" i="4" l="1"/>
  <c r="F46" i="4" l="1"/>
  <c r="F23" i="4" s="1"/>
  <c r="I22" i="4"/>
  <c r="F22" i="4"/>
  <c r="H22" i="4"/>
  <c r="F36" i="4"/>
  <c r="G43" i="4"/>
  <c r="H43" i="4"/>
  <c r="I43" i="4"/>
  <c r="F43" i="4"/>
  <c r="J170" i="2" l="1"/>
  <c r="J168" i="2"/>
  <c r="G48" i="4"/>
  <c r="G50" i="4"/>
  <c r="G23" i="4" s="1"/>
  <c r="G22" i="4" s="1"/>
  <c r="G46" i="4" l="1"/>
  <c r="G49" i="1"/>
  <c r="G45" i="1"/>
  <c r="P168" i="2"/>
  <c r="N78" i="2"/>
  <c r="K78" i="2"/>
  <c r="M56" i="2"/>
  <c r="N56" i="2" s="1"/>
  <c r="M48" i="2"/>
  <c r="N48" i="2"/>
  <c r="N19" i="2"/>
  <c r="H170" i="2"/>
  <c r="I170" i="2"/>
  <c r="H169" i="2"/>
  <c r="I169" i="2"/>
  <c r="H155" i="2"/>
  <c r="I155" i="2"/>
  <c r="J155" i="2"/>
  <c r="J169" i="2" s="1"/>
  <c r="H168" i="2"/>
  <c r="I168" i="2"/>
  <c r="I167" i="2"/>
  <c r="H167" i="2"/>
  <c r="J167" i="2"/>
  <c r="J166" i="2"/>
  <c r="N33" i="2"/>
  <c r="K49" i="2"/>
  <c r="K89" i="2"/>
  <c r="L89" i="2"/>
  <c r="M89" i="2" s="1"/>
  <c r="M117" i="2"/>
  <c r="L117" i="2"/>
  <c r="P169" i="2" l="1"/>
  <c r="K56" i="2" l="1"/>
  <c r="N16" i="2"/>
  <c r="M16" i="2"/>
  <c r="N138" i="2" l="1"/>
  <c r="N134" i="2"/>
  <c r="N132" i="2"/>
  <c r="M132" i="2"/>
  <c r="L132" i="2"/>
  <c r="K132" i="2"/>
  <c r="L16" i="2"/>
  <c r="K57" i="2"/>
  <c r="K51" i="2"/>
  <c r="K125" i="2"/>
  <c r="N148" i="2"/>
  <c r="N144" i="2"/>
  <c r="M144" i="2"/>
  <c r="L144" i="2"/>
  <c r="K138" i="2"/>
  <c r="N141" i="2"/>
  <c r="M141" i="2"/>
  <c r="L141" i="2"/>
  <c r="L131" i="2" l="1"/>
  <c r="M131" i="2"/>
  <c r="K131" i="2"/>
  <c r="N126" i="2"/>
  <c r="M126" i="2"/>
  <c r="L126" i="2"/>
  <c r="K126" i="2"/>
  <c r="N128" i="2"/>
  <c r="M128" i="2"/>
  <c r="L128" i="2"/>
  <c r="M127" i="2"/>
  <c r="K90" i="2"/>
  <c r="M96" i="2"/>
  <c r="L96" i="2"/>
  <c r="K96" i="2"/>
  <c r="N96" i="2" s="1"/>
  <c r="N89" i="2" l="1"/>
  <c r="L81" i="2"/>
  <c r="M81" i="2" s="1"/>
  <c r="K80" i="2"/>
  <c r="K81" i="2"/>
  <c r="N83" i="2"/>
  <c r="M83" i="2"/>
  <c r="L83" i="2"/>
  <c r="M79" i="2"/>
  <c r="L79" i="2"/>
  <c r="N74" i="2"/>
  <c r="M74" i="2"/>
  <c r="K74" i="2"/>
  <c r="M76" i="2"/>
  <c r="M77" i="2"/>
  <c r="N73" i="2"/>
  <c r="M73" i="2"/>
  <c r="L73" i="2"/>
  <c r="L72" i="2"/>
  <c r="L68" i="2" s="1"/>
  <c r="N70" i="2"/>
  <c r="M70" i="2"/>
  <c r="L70" i="2"/>
  <c r="M69" i="2"/>
  <c r="L69" i="2"/>
  <c r="M62" i="2"/>
  <c r="N64" i="2"/>
  <c r="K64" i="2"/>
  <c r="K61" i="2"/>
  <c r="L64" i="2"/>
  <c r="L60" i="2"/>
  <c r="K60" i="2"/>
  <c r="K54" i="2"/>
  <c r="N55" i="2"/>
  <c r="M55" i="2"/>
  <c r="L55" i="2"/>
  <c r="K55" i="2"/>
  <c r="M54" i="2"/>
  <c r="N54" i="2" s="1"/>
  <c r="L54" i="2"/>
  <c r="K53" i="2"/>
  <c r="O52" i="2"/>
  <c r="N52" i="2"/>
  <c r="M52" i="2"/>
  <c r="L52" i="2"/>
  <c r="K52" i="2"/>
  <c r="K43" i="2"/>
  <c r="K42" i="2" s="1"/>
  <c r="L48" i="2"/>
  <c r="O45" i="2"/>
  <c r="M45" i="2"/>
  <c r="L45" i="2"/>
  <c r="K45" i="2"/>
  <c r="N46" i="2"/>
  <c r="M47" i="2"/>
  <c r="M46" i="2"/>
  <c r="L46" i="2"/>
  <c r="L49" i="2"/>
  <c r="M49" i="2" s="1"/>
  <c r="N43" i="2" l="1"/>
  <c r="O43" i="2" s="1"/>
  <c r="L47" i="2"/>
  <c r="K47" i="2"/>
  <c r="P47" i="2"/>
  <c r="N44" i="2"/>
  <c r="M44" i="2"/>
  <c r="L44" i="2"/>
  <c r="K44" i="2"/>
  <c r="P38" i="2"/>
  <c r="N38" i="2"/>
  <c r="M38" i="2"/>
  <c r="L38" i="2"/>
  <c r="N92" i="2" l="1"/>
  <c r="M92" i="2"/>
  <c r="N120" i="2"/>
  <c r="N119" i="2"/>
  <c r="O119" i="2"/>
  <c r="K120" i="2"/>
  <c r="L120" i="2"/>
  <c r="P120" i="2"/>
  <c r="K116" i="2"/>
  <c r="P117" i="2"/>
  <c r="N117" i="2"/>
  <c r="K117" i="2"/>
  <c r="M104" i="2"/>
  <c r="L104" i="2"/>
  <c r="K104" i="2"/>
  <c r="N107" i="2"/>
  <c r="M107" i="2"/>
  <c r="L107" i="2"/>
  <c r="N106" i="2"/>
  <c r="P100" i="2"/>
  <c r="O101" i="2"/>
  <c r="K99" i="2"/>
  <c r="M99" i="2" l="1"/>
  <c r="O100" i="2"/>
  <c r="N24" i="2" l="1"/>
  <c r="M24" i="2"/>
  <c r="P183" i="2"/>
  <c r="P180" i="2"/>
  <c r="P179" i="2"/>
  <c r="K179" i="2"/>
  <c r="K183" i="2"/>
  <c r="L183" i="2" s="1"/>
  <c r="K180" i="2"/>
  <c r="K178" i="2" s="1"/>
  <c r="L180" i="2"/>
  <c r="M180" i="2" s="1"/>
  <c r="N180" i="2" s="1"/>
  <c r="J183" i="2"/>
  <c r="J180" i="2"/>
  <c r="J179" i="2"/>
  <c r="P170" i="2"/>
  <c r="J141" i="2"/>
  <c r="J138" i="2"/>
  <c r="L178" i="2" l="1"/>
  <c r="M183" i="2"/>
  <c r="N183" i="2" s="1"/>
  <c r="N178" i="2" s="1"/>
  <c r="O178" i="2" s="1"/>
  <c r="M178" i="2" l="1"/>
  <c r="L33" i="2"/>
  <c r="K26" i="2"/>
  <c r="L24" i="2"/>
  <c r="N17" i="2" l="1"/>
  <c r="K14" i="1" l="1"/>
  <c r="K15" i="1"/>
  <c r="K26" i="1"/>
  <c r="K33" i="1"/>
  <c r="K34" i="1"/>
  <c r="K35" i="1"/>
  <c r="K36" i="1"/>
  <c r="K39" i="1"/>
  <c r="K40" i="1"/>
  <c r="K41" i="1"/>
  <c r="K42" i="1"/>
  <c r="K45" i="1"/>
  <c r="K46" i="1"/>
  <c r="K47" i="1"/>
  <c r="K48" i="1"/>
  <c r="K50" i="1"/>
  <c r="K51" i="1"/>
  <c r="K52" i="1"/>
  <c r="K53" i="1"/>
  <c r="K54" i="1"/>
  <c r="K55" i="1"/>
  <c r="K56" i="1"/>
  <c r="J68" i="1"/>
  <c r="K68" i="1" s="1"/>
  <c r="J14" i="1"/>
  <c r="J15" i="1"/>
  <c r="J26" i="1"/>
  <c r="J33" i="1"/>
  <c r="J34" i="1"/>
  <c r="J35" i="1"/>
  <c r="J36" i="1"/>
  <c r="J39" i="1"/>
  <c r="J40" i="1"/>
  <c r="J41" i="1"/>
  <c r="J42" i="1"/>
  <c r="J45" i="1"/>
  <c r="J46" i="1"/>
  <c r="J47" i="1"/>
  <c r="J48" i="1"/>
  <c r="J50" i="1"/>
  <c r="J51" i="1"/>
  <c r="J52" i="1"/>
  <c r="J53" i="1"/>
  <c r="J54" i="1"/>
  <c r="J55" i="1"/>
  <c r="J56" i="1"/>
  <c r="N99" i="2"/>
  <c r="F30" i="4" l="1"/>
  <c r="F27" i="4" s="1"/>
  <c r="H16" i="4" l="1"/>
  <c r="I16" i="4" s="1"/>
  <c r="G30" i="4"/>
  <c r="G67" i="1"/>
  <c r="G15" i="3"/>
  <c r="K98" i="2"/>
  <c r="K160" i="2" s="1"/>
  <c r="K75" i="2"/>
  <c r="K124" i="2" s="1"/>
  <c r="K68" i="2"/>
  <c r="M64" i="2"/>
  <c r="N53" i="2"/>
  <c r="M53" i="2"/>
  <c r="L53" i="2"/>
  <c r="N34" i="2"/>
  <c r="K34" i="2"/>
  <c r="M15" i="2"/>
  <c r="L15" i="2"/>
  <c r="K15" i="2"/>
  <c r="N15" i="2"/>
  <c r="K97" i="2" l="1"/>
  <c r="K41" i="2" s="1"/>
  <c r="M140" i="2"/>
  <c r="L57" i="2" l="1"/>
  <c r="L34" i="2"/>
  <c r="M34" i="2" l="1"/>
  <c r="P27" i="2" l="1"/>
  <c r="P166" i="2"/>
  <c r="P167" i="2"/>
  <c r="P97" i="2"/>
  <c r="L99" i="2" l="1"/>
  <c r="M139" i="2" l="1"/>
  <c r="N139" i="2" s="1"/>
  <c r="O78" i="2" l="1"/>
  <c r="L76" i="2"/>
  <c r="L77" i="2"/>
  <c r="N77" i="2" s="1"/>
  <c r="O77" i="2" s="1"/>
  <c r="M71" i="2"/>
  <c r="P64" i="2"/>
  <c r="O64" i="2"/>
  <c r="H16" i="1"/>
  <c r="M33" i="2"/>
  <c r="O179" i="2"/>
  <c r="E17" i="3"/>
  <c r="E16" i="3"/>
  <c r="G22" i="1"/>
  <c r="G13" i="1"/>
  <c r="O96" i="2"/>
  <c r="O89" i="2"/>
  <c r="O83" i="2"/>
  <c r="K82" i="2"/>
  <c r="N79" i="2"/>
  <c r="O79" i="2" s="1"/>
  <c r="K59" i="2"/>
  <c r="O56" i="2"/>
  <c r="O131" i="2"/>
  <c r="H14" i="4"/>
  <c r="I63" i="4"/>
  <c r="H63" i="4"/>
  <c r="G63" i="4"/>
  <c r="I51" i="4"/>
  <c r="H51" i="4"/>
  <c r="I41" i="4"/>
  <c r="I38" i="4" s="1"/>
  <c r="H41" i="4"/>
  <c r="H38" i="4" s="1"/>
  <c r="G41" i="4"/>
  <c r="G38" i="4" s="1"/>
  <c r="F41" i="4"/>
  <c r="F38" i="4" s="1"/>
  <c r="F26" i="4" s="1"/>
  <c r="I36" i="4"/>
  <c r="H36" i="4"/>
  <c r="G36" i="4"/>
  <c r="G27" i="4" s="1"/>
  <c r="I30" i="4"/>
  <c r="H30" i="4"/>
  <c r="H27" i="4" s="1"/>
  <c r="I19" i="4"/>
  <c r="H19" i="4"/>
  <c r="G19" i="4"/>
  <c r="I15" i="4"/>
  <c r="G17" i="3"/>
  <c r="O49" i="2"/>
  <c r="O15" i="2"/>
  <c r="O164" i="2"/>
  <c r="O165" i="2"/>
  <c r="M109" i="2"/>
  <c r="N109" i="2" s="1"/>
  <c r="M108" i="2"/>
  <c r="N108" i="2" s="1"/>
  <c r="L106" i="2"/>
  <c r="O16" i="2"/>
  <c r="P13" i="2"/>
  <c r="P160" i="2"/>
  <c r="P155" i="2"/>
  <c r="P158" i="2"/>
  <c r="G23" i="1"/>
  <c r="L62" i="2"/>
  <c r="L61" i="2" s="1"/>
  <c r="J58" i="1"/>
  <c r="J59" i="1"/>
  <c r="J61" i="1"/>
  <c r="P101" i="2"/>
  <c r="O128" i="2"/>
  <c r="P34" i="2"/>
  <c r="N71" i="2"/>
  <c r="L146" i="2"/>
  <c r="L67" i="2"/>
  <c r="M67" i="2" s="1"/>
  <c r="N67" i="2" s="1"/>
  <c r="M72" i="2"/>
  <c r="N72" i="2" s="1"/>
  <c r="O72" i="2" s="1"/>
  <c r="P80" i="2"/>
  <c r="O19" i="2"/>
  <c r="P16" i="2"/>
  <c r="O183" i="2"/>
  <c r="O180" i="2"/>
  <c r="P51" i="2"/>
  <c r="P43" i="2"/>
  <c r="L127" i="2"/>
  <c r="H63" i="1"/>
  <c r="J63" i="1" s="1"/>
  <c r="L63" i="1" s="1"/>
  <c r="P61" i="2"/>
  <c r="P78" i="2"/>
  <c r="O17" i="2"/>
  <c r="P33" i="2"/>
  <c r="P18" i="2"/>
  <c r="P119" i="2"/>
  <c r="G25" i="1"/>
  <c r="P126" i="2"/>
  <c r="H15" i="3"/>
  <c r="P17" i="2"/>
  <c r="P19" i="2"/>
  <c r="K21" i="2"/>
  <c r="L21" i="2"/>
  <c r="M21" i="2"/>
  <c r="N21" i="2"/>
  <c r="P24" i="2"/>
  <c r="P26" i="2"/>
  <c r="K28" i="2"/>
  <c r="L28" i="2"/>
  <c r="M28" i="2"/>
  <c r="N28" i="2"/>
  <c r="P44" i="2"/>
  <c r="P45" i="2"/>
  <c r="P46" i="2"/>
  <c r="P48" i="2"/>
  <c r="O48" i="2"/>
  <c r="P49" i="2"/>
  <c r="P52" i="2"/>
  <c r="P53" i="2"/>
  <c r="O54" i="2"/>
  <c r="P54" i="2"/>
  <c r="P56" i="2"/>
  <c r="P60" i="2"/>
  <c r="P62" i="2"/>
  <c r="O73" i="2"/>
  <c r="P73" i="2"/>
  <c r="P74" i="2"/>
  <c r="P75" i="2"/>
  <c r="P76" i="2"/>
  <c r="P77" i="2"/>
  <c r="P79" i="2"/>
  <c r="P82" i="2"/>
  <c r="P83" i="2"/>
  <c r="P89" i="2"/>
  <c r="G20" i="1"/>
  <c r="P92" i="2"/>
  <c r="P96" i="2"/>
  <c r="P104" i="2"/>
  <c r="K111" i="2"/>
  <c r="L111" i="2"/>
  <c r="M111" i="2"/>
  <c r="N111" i="2"/>
  <c r="H25" i="1"/>
  <c r="J25" i="1" s="1"/>
  <c r="K25" i="1" s="1"/>
  <c r="P128" i="2"/>
  <c r="P131" i="2"/>
  <c r="P153" i="2"/>
  <c r="P164" i="2"/>
  <c r="P165" i="2"/>
  <c r="G28" i="1"/>
  <c r="G32" i="1"/>
  <c r="K58" i="1"/>
  <c r="K59" i="1"/>
  <c r="K61" i="1"/>
  <c r="G62" i="1"/>
  <c r="H62" i="1"/>
  <c r="J62" i="1" s="1"/>
  <c r="L62" i="1" s="1"/>
  <c r="G63" i="1"/>
  <c r="G70" i="1"/>
  <c r="H70" i="1"/>
  <c r="J70" i="1" s="1"/>
  <c r="K70" i="1" s="1"/>
  <c r="P132" i="2"/>
  <c r="P106" i="2"/>
  <c r="P59" i="2"/>
  <c r="P137" i="2"/>
  <c r="P103" i="2"/>
  <c r="P107" i="2"/>
  <c r="P124" i="2"/>
  <c r="P81" i="2"/>
  <c r="P15" i="2"/>
  <c r="G16" i="1"/>
  <c r="K119" i="2"/>
  <c r="K115" i="2" s="1"/>
  <c r="P115" i="2"/>
  <c r="G27" i="1"/>
  <c r="O53" i="2"/>
  <c r="O18" i="2"/>
  <c r="G30" i="1"/>
  <c r="P142" i="2"/>
  <c r="P133" i="2"/>
  <c r="G24" i="1"/>
  <c r="P99" i="2"/>
  <c r="O38" i="2"/>
  <c r="P98" i="2"/>
  <c r="P90" i="2"/>
  <c r="G16" i="3"/>
  <c r="P14" i="2"/>
  <c r="G29" i="1"/>
  <c r="P125" i="2"/>
  <c r="P68" i="2"/>
  <c r="P57" i="2"/>
  <c r="P42" i="2"/>
  <c r="G19" i="1"/>
  <c r="P41" i="2"/>
  <c r="P150" i="2"/>
  <c r="P40" i="2"/>
  <c r="O34" i="2"/>
  <c r="H71" i="1"/>
  <c r="G64" i="1"/>
  <c r="G65" i="1"/>
  <c r="N146" i="2"/>
  <c r="O146" i="2" s="1"/>
  <c r="H26" i="4" l="1"/>
  <c r="I27" i="4"/>
  <c r="I26" i="4"/>
  <c r="H13" i="4"/>
  <c r="G26" i="4"/>
  <c r="K137" i="2"/>
  <c r="K133" i="2" s="1"/>
  <c r="M68" i="2"/>
  <c r="M61" i="2"/>
  <c r="N51" i="2"/>
  <c r="J16" i="1"/>
  <c r="K16" i="1" s="1"/>
  <c r="M16" i="1" s="1"/>
  <c r="I16" i="1"/>
  <c r="J71" i="1"/>
  <c r="K71" i="1" s="1"/>
  <c r="M71" i="1" s="1"/>
  <c r="G60" i="1"/>
  <c r="G13" i="4"/>
  <c r="J57" i="1"/>
  <c r="J60" i="1"/>
  <c r="F13" i="4"/>
  <c r="K60" i="1"/>
  <c r="G66" i="1"/>
  <c r="E15" i="3"/>
  <c r="G12" i="1"/>
  <c r="I62" i="1"/>
  <c r="H16" i="3"/>
  <c r="L119" i="2"/>
  <c r="O120" i="2"/>
  <c r="M120" i="2"/>
  <c r="K62" i="1"/>
  <c r="M62" i="1" s="1"/>
  <c r="M106" i="2"/>
  <c r="L98" i="2"/>
  <c r="H17" i="3"/>
  <c r="J178" i="2"/>
  <c r="L26" i="2"/>
  <c r="L14" i="2" s="1"/>
  <c r="L155" i="2" s="1"/>
  <c r="L75" i="2"/>
  <c r="N62" i="2"/>
  <c r="L138" i="2"/>
  <c r="O107" i="2"/>
  <c r="L82" i="2"/>
  <c r="K14" i="2"/>
  <c r="K155" i="2" s="1"/>
  <c r="G21" i="1"/>
  <c r="G18" i="1" s="1"/>
  <c r="G17" i="1" s="1"/>
  <c r="K63" i="1"/>
  <c r="M63" i="1" s="1"/>
  <c r="I63" i="1"/>
  <c r="K143" i="2"/>
  <c r="K142" i="2" s="1"/>
  <c r="N127" i="2"/>
  <c r="O33" i="2"/>
  <c r="L59" i="2"/>
  <c r="I14" i="4"/>
  <c r="I13" i="4" s="1"/>
  <c r="L51" i="2"/>
  <c r="N80" i="2"/>
  <c r="N69" i="2"/>
  <c r="N68" i="2" s="1"/>
  <c r="H57" i="1" l="1"/>
  <c r="L57" i="1" s="1"/>
  <c r="L137" i="2"/>
  <c r="L133" i="2" s="1"/>
  <c r="L125" i="2" s="1"/>
  <c r="L74" i="2"/>
  <c r="L124" i="2"/>
  <c r="O47" i="2"/>
  <c r="L16" i="1"/>
  <c r="K158" i="2"/>
  <c r="L71" i="1"/>
  <c r="P178" i="2"/>
  <c r="G71" i="1"/>
  <c r="G31" i="1"/>
  <c r="G38" i="1" s="1"/>
  <c r="G69" i="1"/>
  <c r="L13" i="2"/>
  <c r="M60" i="1"/>
  <c r="G57" i="1"/>
  <c r="K13" i="2"/>
  <c r="O62" i="2"/>
  <c r="N61" i="2"/>
  <c r="O61" i="2" s="1"/>
  <c r="L90" i="2"/>
  <c r="N137" i="2"/>
  <c r="M138" i="2"/>
  <c r="M137" i="2" s="1"/>
  <c r="M133" i="2" s="1"/>
  <c r="M125" i="2" s="1"/>
  <c r="M43" i="2"/>
  <c r="L116" i="2"/>
  <c r="L115" i="2" s="1"/>
  <c r="M82" i="2"/>
  <c r="N82" i="2" s="1"/>
  <c r="O82" i="2" s="1"/>
  <c r="L80" i="2"/>
  <c r="M26" i="2"/>
  <c r="M14" i="2" s="1"/>
  <c r="M13" i="2" s="1"/>
  <c r="L43" i="2"/>
  <c r="N76" i="2"/>
  <c r="M75" i="2"/>
  <c r="M103" i="2"/>
  <c r="M98" i="2" s="1"/>
  <c r="O99" i="2"/>
  <c r="H23" i="1"/>
  <c r="J23" i="1" s="1"/>
  <c r="K23" i="1" s="1"/>
  <c r="O68" i="2"/>
  <c r="O69" i="2"/>
  <c r="K57" i="1"/>
  <c r="M57" i="1" s="1"/>
  <c r="O24" i="2"/>
  <c r="M51" i="2"/>
  <c r="O132" i="2"/>
  <c r="O44" i="2"/>
  <c r="O81" i="2"/>
  <c r="M119" i="2"/>
  <c r="L143" i="2"/>
  <c r="L142" i="2" s="1"/>
  <c r="O106" i="2"/>
  <c r="O126" i="2"/>
  <c r="L160" i="2"/>
  <c r="M60" i="2"/>
  <c r="M59" i="2" s="1"/>
  <c r="P143" i="2"/>
  <c r="I57" i="1" l="1"/>
  <c r="G37" i="1"/>
  <c r="N103" i="2"/>
  <c r="M155" i="2"/>
  <c r="I23" i="1"/>
  <c r="K40" i="2"/>
  <c r="K150" i="2" s="1"/>
  <c r="M90" i="2"/>
  <c r="O80" i="2"/>
  <c r="M80" i="2"/>
  <c r="M57" i="2" s="1"/>
  <c r="M42" i="2" s="1"/>
  <c r="N75" i="2"/>
  <c r="O76" i="2"/>
  <c r="N133" i="2"/>
  <c r="N125" i="2" s="1"/>
  <c r="O137" i="2"/>
  <c r="N26" i="2"/>
  <c r="O27" i="2"/>
  <c r="M160" i="2"/>
  <c r="L97" i="2"/>
  <c r="L42" i="2"/>
  <c r="M116" i="2"/>
  <c r="M115" i="2" s="1"/>
  <c r="M124" i="2" s="1"/>
  <c r="G43" i="1"/>
  <c r="M23" i="1"/>
  <c r="N60" i="2"/>
  <c r="N59" i="2" s="1"/>
  <c r="O104" i="2"/>
  <c r="O51" i="2"/>
  <c r="O46" i="2"/>
  <c r="N143" i="2"/>
  <c r="N142" i="2" s="1"/>
  <c r="M143" i="2"/>
  <c r="M142" i="2" s="1"/>
  <c r="N124" i="2" l="1"/>
  <c r="O124" i="2" s="1"/>
  <c r="N98" i="2"/>
  <c r="O103" i="2"/>
  <c r="L41" i="2"/>
  <c r="L158" i="2" s="1"/>
  <c r="G47" i="1"/>
  <c r="H60" i="1"/>
  <c r="L60" i="1" s="1"/>
  <c r="O74" i="2"/>
  <c r="O75" i="2"/>
  <c r="O26" i="2"/>
  <c r="N14" i="2"/>
  <c r="O133" i="2"/>
  <c r="N57" i="2"/>
  <c r="N116" i="2"/>
  <c r="N115" i="2" s="1"/>
  <c r="M97" i="2"/>
  <c r="M41" i="2" s="1"/>
  <c r="N90" i="2"/>
  <c r="O92" i="2"/>
  <c r="L23" i="1"/>
  <c r="O142" i="2"/>
  <c r="H30" i="1"/>
  <c r="J30" i="1" s="1"/>
  <c r="K30" i="1" s="1"/>
  <c r="H29" i="1"/>
  <c r="J29" i="1" s="1"/>
  <c r="K29" i="1" s="1"/>
  <c r="O125" i="2"/>
  <c r="G44" i="1"/>
  <c r="H24" i="1"/>
  <c r="J24" i="1" s="1"/>
  <c r="K24" i="1" s="1"/>
  <c r="O60" i="2"/>
  <c r="L40" i="2" l="1"/>
  <c r="L150" i="2" s="1"/>
  <c r="N42" i="2"/>
  <c r="I60" i="1"/>
  <c r="N13" i="2"/>
  <c r="H13" i="1"/>
  <c r="J13" i="1" s="1"/>
  <c r="K13" i="1" s="1"/>
  <c r="O14" i="2"/>
  <c r="N155" i="2"/>
  <c r="H20" i="1"/>
  <c r="J20" i="1" s="1"/>
  <c r="K20" i="1" s="1"/>
  <c r="O90" i="2"/>
  <c r="O116" i="2"/>
  <c r="M158" i="2"/>
  <c r="M40" i="2"/>
  <c r="I24" i="1"/>
  <c r="I30" i="1"/>
  <c r="O59" i="2"/>
  <c r="O57" i="2"/>
  <c r="O115" i="2"/>
  <c r="H22" i="1"/>
  <c r="J22" i="1" s="1"/>
  <c r="K22" i="1" s="1"/>
  <c r="N160" i="2"/>
  <c r="O98" i="2"/>
  <c r="I29" i="1"/>
  <c r="O168" i="2" l="1"/>
  <c r="O166" i="2"/>
  <c r="N167" i="2"/>
  <c r="O167" i="2" s="1"/>
  <c r="O155" i="2"/>
  <c r="N169" i="2"/>
  <c r="H27" i="1"/>
  <c r="J27" i="1" s="1"/>
  <c r="K27" i="1" s="1"/>
  <c r="N97" i="2"/>
  <c r="I13" i="1"/>
  <c r="H12" i="1"/>
  <c r="J12" i="1" s="1"/>
  <c r="H66" i="1"/>
  <c r="J66" i="1" s="1"/>
  <c r="K66" i="1" s="1"/>
  <c r="I20" i="1"/>
  <c r="O13" i="2"/>
  <c r="M150" i="2"/>
  <c r="L29" i="1"/>
  <c r="M29" i="1"/>
  <c r="O42" i="2"/>
  <c r="H19" i="1"/>
  <c r="J19" i="1" s="1"/>
  <c r="K19" i="1" s="1"/>
  <c r="O160" i="2"/>
  <c r="L30" i="1"/>
  <c r="M30" i="1"/>
  <c r="I22" i="1"/>
  <c r="L24" i="1"/>
  <c r="M24" i="1"/>
  <c r="O169" i="2" l="1"/>
  <c r="N170" i="2"/>
  <c r="O170" i="2" s="1"/>
  <c r="I27" i="1"/>
  <c r="K12" i="1"/>
  <c r="O97" i="2"/>
  <c r="N41" i="2"/>
  <c r="H28" i="1"/>
  <c r="J28" i="1" s="1"/>
  <c r="K28" i="1" s="1"/>
  <c r="I12" i="1"/>
  <c r="M20" i="1"/>
  <c r="L20" i="1"/>
  <c r="L13" i="1"/>
  <c r="H67" i="1"/>
  <c r="J67" i="1" s="1"/>
  <c r="K67" i="1" s="1"/>
  <c r="I66" i="1"/>
  <c r="H65" i="1"/>
  <c r="J65" i="1" s="1"/>
  <c r="K65" i="1" s="1"/>
  <c r="I19" i="1"/>
  <c r="M22" i="1"/>
  <c r="L22" i="1"/>
  <c r="L27" i="1"/>
  <c r="M27" i="1"/>
  <c r="H64" i="1"/>
  <c r="J64" i="1" s="1"/>
  <c r="K64" i="1" s="1"/>
  <c r="N40" i="2" l="1"/>
  <c r="N150" i="2" s="1"/>
  <c r="N153" i="2" s="1"/>
  <c r="H21" i="1"/>
  <c r="J21" i="1" s="1"/>
  <c r="K21" i="1" s="1"/>
  <c r="M28" i="1"/>
  <c r="I67" i="1"/>
  <c r="O41" i="2"/>
  <c r="I28" i="1"/>
  <c r="N158" i="2"/>
  <c r="O158" i="2" s="1"/>
  <c r="L66" i="1"/>
  <c r="L67" i="1"/>
  <c r="M13" i="1"/>
  <c r="L12" i="1"/>
  <c r="I65" i="1"/>
  <c r="I64" i="1"/>
  <c r="L19" i="1"/>
  <c r="M19" i="1"/>
  <c r="O40" i="2" l="1"/>
  <c r="I21" i="1"/>
  <c r="L28" i="1"/>
  <c r="H18" i="1"/>
  <c r="J18" i="1" s="1"/>
  <c r="K18" i="1" s="1"/>
  <c r="M21" i="1"/>
  <c r="M12" i="1"/>
  <c r="M66" i="1"/>
  <c r="M67" i="1"/>
  <c r="M64" i="1"/>
  <c r="L64" i="1"/>
  <c r="O150" i="2"/>
  <c r="L21" i="1"/>
  <c r="M65" i="1"/>
  <c r="L65" i="1"/>
  <c r="H17" i="1" l="1"/>
  <c r="J17" i="1" s="1"/>
  <c r="I18" i="1"/>
  <c r="O153" i="2"/>
  <c r="H32" i="1"/>
  <c r="J32" i="1" s="1"/>
  <c r="K32" i="1" s="1"/>
  <c r="K17" i="1" l="1"/>
  <c r="K69" i="1" s="1"/>
  <c r="J69" i="1"/>
  <c r="H69" i="1"/>
  <c r="H31" i="1"/>
  <c r="J31" i="1" s="1"/>
  <c r="K31" i="1" s="1"/>
  <c r="I17" i="1"/>
  <c r="M18" i="1"/>
  <c r="L18" i="1"/>
  <c r="I32" i="1"/>
  <c r="H38" i="1" l="1"/>
  <c r="J38" i="1" s="1"/>
  <c r="K38" i="1" s="1"/>
  <c r="I31" i="1"/>
  <c r="L32" i="1"/>
  <c r="I69" i="1"/>
  <c r="H37" i="1"/>
  <c r="M17" i="1"/>
  <c r="L69" i="1"/>
  <c r="L17" i="1"/>
  <c r="M32" i="1"/>
  <c r="H43" i="1" l="1"/>
  <c r="J43" i="1" s="1"/>
  <c r="K43" i="1" s="1"/>
  <c r="J37" i="1"/>
  <c r="K37" i="1" s="1"/>
  <c r="M69" i="1"/>
  <c r="I37" i="1"/>
  <c r="M38" i="1"/>
  <c r="L38" i="1"/>
  <c r="M31" i="1"/>
  <c r="L31" i="1"/>
  <c r="H44" i="1" l="1"/>
  <c r="J44" i="1" s="1"/>
  <c r="K44" i="1" s="1"/>
  <c r="M44" i="1" s="1"/>
  <c r="I43" i="1"/>
  <c r="L37" i="1"/>
  <c r="L43" i="1"/>
  <c r="M37" i="1"/>
  <c r="M43" i="1"/>
  <c r="I44" i="1" l="1"/>
  <c r="L44" i="1"/>
  <c r="H49" i="1"/>
  <c r="J49" i="1" s="1"/>
  <c r="K49" i="1" s="1"/>
  <c r="M49" i="1" s="1"/>
  <c r="L49" i="1" l="1"/>
  <c r="I49" i="1"/>
</calcChain>
</file>

<file path=xl/sharedStrings.xml><?xml version="1.0" encoding="utf-8"?>
<sst xmlns="http://schemas.openxmlformats.org/spreadsheetml/2006/main" count="859" uniqueCount="529">
  <si>
    <t>mii lei</t>
  </si>
  <si>
    <t>INDICATORI</t>
  </si>
  <si>
    <t>Nr. rd.</t>
  </si>
  <si>
    <t xml:space="preserve">%       </t>
  </si>
  <si>
    <t>%</t>
  </si>
  <si>
    <t>9=7/5</t>
  </si>
  <si>
    <t>10=8/7</t>
  </si>
  <si>
    <t>6=5/4</t>
  </si>
  <si>
    <t>I</t>
  </si>
  <si>
    <t>Venituri totale din exploatare, din care:</t>
  </si>
  <si>
    <t>a)</t>
  </si>
  <si>
    <t>subvenţii, cf. prevederilor  legale în vigoare</t>
  </si>
  <si>
    <t>b)</t>
  </si>
  <si>
    <t>transferuri, cf.  prevederilor    legale  în  vigoare</t>
  </si>
  <si>
    <t>Venituri financiare</t>
  </si>
  <si>
    <t>II</t>
  </si>
  <si>
    <t>A.</t>
  </si>
  <si>
    <t>cheltuieli cu bunuri și servicii</t>
  </si>
  <si>
    <t>B.</t>
  </si>
  <si>
    <t>cheltuieli cu impozite, taxe și vărsăminte asimilate</t>
  </si>
  <si>
    <t>C.</t>
  </si>
  <si>
    <t>C0</t>
  </si>
  <si>
    <t>C1</t>
  </si>
  <si>
    <t xml:space="preserve">ch. cu salariile </t>
  </si>
  <si>
    <t>C2</t>
  </si>
  <si>
    <t>bonusuri</t>
  </si>
  <si>
    <t>C3</t>
  </si>
  <si>
    <t>alte cheltuieli  cu personalul, din care:</t>
  </si>
  <si>
    <t>cheltuieli cu plăți compensatorii aferente disponibilizărilor de personal</t>
  </si>
  <si>
    <t>C4</t>
  </si>
  <si>
    <t>Cheltuieli aferente contractului de mandat și a altor organe de conducere și control, comisii și comitete</t>
  </si>
  <si>
    <t>C5</t>
  </si>
  <si>
    <t>Cheltuieli cu contribuțiile datorate de angajator</t>
  </si>
  <si>
    <t>D.</t>
  </si>
  <si>
    <t>alte cheltuieli de exploatare</t>
  </si>
  <si>
    <t>Cheltuieli financiare</t>
  </si>
  <si>
    <t>III</t>
  </si>
  <si>
    <t>IV</t>
  </si>
  <si>
    <t>V</t>
  </si>
  <si>
    <t>Rezerve legale</t>
  </si>
  <si>
    <t>Alte rezerve reprezentând facilităţi fiscale prevăzute de lege</t>
  </si>
  <si>
    <t>Acoperirea pierderilor contabile din anii precedenţi</t>
  </si>
  <si>
    <t>Constituirea surselor proprii de finanţare pentru proiectele cofinanţate din împrumuturi externe, precum şi pentru constituirea surselor necesare rambursării ratelor de capital, plaţii dobânzilor, comisioanelor şi altor costuri aferente acestor împrumuturi</t>
  </si>
  <si>
    <t>Alte repartizări prevăzute de lege</t>
  </si>
  <si>
    <t xml:space="preserve">Participarea salariaţilor la profit în limita a 10% din profitul net,  dar nu mai mult de nivelul unui salariu de bază mediu lunar realizat la nivelul operatorului economic în exerciţiul  financiar de referinţă </t>
  </si>
  <si>
    <t xml:space="preserve">Minimim 50% vărsăminte la bugetul de stat sau local în cazul regiilor autonome, ori dividende cuvenite actionarilor, în cazul societăţilor/ companiilor naţionale şi societăţilor cu capital integral sau majoritar de stat, din care: </t>
  </si>
  <si>
    <t xml:space="preserve">   - dividende cuvenite bugetului de stat </t>
  </si>
  <si>
    <t xml:space="preserve">   - dividende cuvenite bugetului local</t>
  </si>
  <si>
    <t>c)</t>
  </si>
  <si>
    <t xml:space="preserve">   - dividende cuvenite altor acţionari</t>
  </si>
  <si>
    <t>VI</t>
  </si>
  <si>
    <t>VENITURI DIN FONDURI EUROPENE</t>
  </si>
  <si>
    <t>VII</t>
  </si>
  <si>
    <t>CHELTUIELI ELIGIBILE DIN FONDURI EUROPENE,   din care</t>
  </si>
  <si>
    <t xml:space="preserve"> cheltuieli materiale</t>
  </si>
  <si>
    <t>cheltuieli cu salariile</t>
  </si>
  <si>
    <t>cheltuieli privind prestările de servicii</t>
  </si>
  <si>
    <t>d)</t>
  </si>
  <si>
    <t>cheltuieli cu reclama și publicitate</t>
  </si>
  <si>
    <t>e)</t>
  </si>
  <si>
    <t>alte cheltuieli</t>
  </si>
  <si>
    <t>VIII</t>
  </si>
  <si>
    <t>SURSE DE FINANŢARE A INVESTIŢIILOR, din care:</t>
  </si>
  <si>
    <t>Alocaţii de la buget</t>
  </si>
  <si>
    <t>alocaţii bugetare aferente plăţii angajamentelor din anii anteriori</t>
  </si>
  <si>
    <t>IX</t>
  </si>
  <si>
    <t>CHELTUIELI  PENTRU INVESTIŢII</t>
  </si>
  <si>
    <t>X</t>
  </si>
  <si>
    <t>DATE DE FUNDAMENTARE</t>
  </si>
  <si>
    <t>Nr. de personal prognozat la finele anului</t>
  </si>
  <si>
    <t>Nr.mediu de salariaţi total</t>
  </si>
  <si>
    <t>Productivitatea muncii în unităţi valorice pe total personal mediu recalculată cf. Legii anuale a bugetului de stat</t>
  </si>
  <si>
    <t>Productivitatea muncii în unități fizice pe total personal mediu (cantitate produse finite/persoană)</t>
  </si>
  <si>
    <t>Plăţi restante</t>
  </si>
  <si>
    <t>Creanţe restante</t>
  </si>
  <si>
    <t>Director General,</t>
  </si>
  <si>
    <t>Director Economic,</t>
  </si>
  <si>
    <t xml:space="preserve">Dr. ing. Leitner Ioan </t>
  </si>
  <si>
    <t xml:space="preserve"> Aprobat</t>
  </si>
  <si>
    <t>din care:</t>
  </si>
  <si>
    <t>7=6/5</t>
  </si>
  <si>
    <t>8=5/3a</t>
  </si>
  <si>
    <t>Trim l</t>
  </si>
  <si>
    <t>Trim ll</t>
  </si>
  <si>
    <t>Trim lll</t>
  </si>
  <si>
    <t>An</t>
  </si>
  <si>
    <t>3a</t>
  </si>
  <si>
    <t>4a</t>
  </si>
  <si>
    <t>6a</t>
  </si>
  <si>
    <t>6b</t>
  </si>
  <si>
    <t>6c</t>
  </si>
  <si>
    <t>I.</t>
  </si>
  <si>
    <t>a1)</t>
  </si>
  <si>
    <t>din vânzarea produselor (apă-canal)</t>
  </si>
  <si>
    <t>a2)</t>
  </si>
  <si>
    <t>din servicii prestate</t>
  </si>
  <si>
    <t>a3)</t>
  </si>
  <si>
    <t>din redevenţe şi chirii</t>
  </si>
  <si>
    <t>a4)</t>
  </si>
  <si>
    <t>din vânzarea mărfurilor</t>
  </si>
  <si>
    <t xml:space="preserve">din subvenţii şi transferuri de exploatare aferente cifrei de afaceri nete (Rd.10+Rd.11), din care: </t>
  </si>
  <si>
    <t>din producţia de imobilizări</t>
  </si>
  <si>
    <t>venituri aferente costului producţiei în curs de execuţie</t>
  </si>
  <si>
    <t>f)</t>
  </si>
  <si>
    <t>alte venituri din exploatare (Rd.15+Rd.16+Rd.19+Rd.20+Rd.21), din care:</t>
  </si>
  <si>
    <t>f1)</t>
  </si>
  <si>
    <t>din amenzi şi penalităţi</t>
  </si>
  <si>
    <t>f2)</t>
  </si>
  <si>
    <t xml:space="preserve"> - active corporale</t>
  </si>
  <si>
    <t xml:space="preserve"> - active necorporale</t>
  </si>
  <si>
    <t>f3)</t>
  </si>
  <si>
    <t>din subvenţii pentru investiţii</t>
  </si>
  <si>
    <t>f4)</t>
  </si>
  <si>
    <t>din refacturare lucrări IID</t>
  </si>
  <si>
    <t>f5)</t>
  </si>
  <si>
    <t>alte venituri din exploatare și refacturări</t>
  </si>
  <si>
    <t>din imobilizări financiare</t>
  </si>
  <si>
    <t>din investiţii financiare</t>
  </si>
  <si>
    <t>din diferenţe de curs</t>
  </si>
  <si>
    <t>din dobânzi</t>
  </si>
  <si>
    <t>alte venituri financiare</t>
  </si>
  <si>
    <t>A1</t>
  </si>
  <si>
    <t>cheltuieli cu materiile prime</t>
  </si>
  <si>
    <t>cheltuieli cu materialele consumabile, din care:</t>
  </si>
  <si>
    <t>b1)</t>
  </si>
  <si>
    <t>cheltuieli cu piesele de schimb</t>
  </si>
  <si>
    <t>b2)</t>
  </si>
  <si>
    <t>cheltuieli privind energia şi apa</t>
  </si>
  <si>
    <t>cheltuieli privind mărfurile</t>
  </si>
  <si>
    <t>A2</t>
  </si>
  <si>
    <t>cheltuieli cu întreţinerea şi reparaţiile</t>
  </si>
  <si>
    <t xml:space="preserve">b) </t>
  </si>
  <si>
    <t xml:space="preserve"> - către operatori cu capital integral/majoritar de stat</t>
  </si>
  <si>
    <t xml:space="preserve"> - către operatori cu capital privat</t>
  </si>
  <si>
    <t>prime de asigurare</t>
  </si>
  <si>
    <t>A3</t>
  </si>
  <si>
    <t>cheltuieli cu colaboratorii</t>
  </si>
  <si>
    <t>cheltuieli privind comisioanele şi onorariul, din care:</t>
  </si>
  <si>
    <t>cheltuieli privind consultanţa juridică</t>
  </si>
  <si>
    <t>c1)</t>
  </si>
  <si>
    <t>cheltuieli de protocol, din care:</t>
  </si>
  <si>
    <t xml:space="preserve"> - tichete cadou potrivit Legii nr.193/2006, cu modificările ulterioare</t>
  </si>
  <si>
    <t>c2)</t>
  </si>
  <si>
    <t>cheltuieli de reclamă şi publicitate, din care:</t>
  </si>
  <si>
    <t xml:space="preserve"> - tichete cadou ptr. campanii de marketing, studiul pieţei, promovarea pe pieţe existente sau noi, potrivit Legii nr.193/2006, cu  modificările ulterioare</t>
  </si>
  <si>
    <t xml:space="preserve"> - ch.de promovare a produselor</t>
  </si>
  <si>
    <t>d1)</t>
  </si>
  <si>
    <t>ch.de sponsorizare în domeniul medical și sănătate</t>
  </si>
  <si>
    <t>d2)</t>
  </si>
  <si>
    <t>ch. de sponsorizare în domeniul educației, învățământ, social și sport, din care:</t>
  </si>
  <si>
    <t>d3)</t>
  </si>
  <si>
    <t xml:space="preserve">           - pentru cluburile sportive</t>
  </si>
  <si>
    <t>d4)</t>
  </si>
  <si>
    <t>ch.de sponsorizare pentru alte acțiuni și activități</t>
  </si>
  <si>
    <t>cheltuieli cu transportul de bunuri şi persoane</t>
  </si>
  <si>
    <t xml:space="preserve">              - internă</t>
  </si>
  <si>
    <t xml:space="preserve">              - externă</t>
  </si>
  <si>
    <t>g)</t>
  </si>
  <si>
    <t>cheltuieli poştale şi taxe de telecomunicaţii</t>
  </si>
  <si>
    <t>h)</t>
  </si>
  <si>
    <t>cheltuieli cu serviciile bancare şi asimilate</t>
  </si>
  <si>
    <t>i)</t>
  </si>
  <si>
    <t>alte cheltuieli cu serviciile executate de terţi, din care:</t>
  </si>
  <si>
    <t>i1)</t>
  </si>
  <si>
    <t>cheltuieli de asigurare şi pază</t>
  </si>
  <si>
    <t>i2)</t>
  </si>
  <si>
    <t>cheltuieli privind întreţinerea şi funcţionarea tehnicii de calcul</t>
  </si>
  <si>
    <t>i3)</t>
  </si>
  <si>
    <t>cheltuieli cu pregătirea profesională</t>
  </si>
  <si>
    <t>i4)</t>
  </si>
  <si>
    <t>cheltuieli cu reevaluarea imobilizărilor corporale şi necorporale, din care:</t>
  </si>
  <si>
    <t>i5)</t>
  </si>
  <si>
    <t>cheltuieli cu prestaţiile efectuate de filiale</t>
  </si>
  <si>
    <t>i6)</t>
  </si>
  <si>
    <t>i7)</t>
  </si>
  <si>
    <t>cheltuieli cu anunţurile privind licitaţiile şi alte anunţuri</t>
  </si>
  <si>
    <t>j)</t>
  </si>
  <si>
    <t>ch. cu taxa pt.activitatea de exploatare  a resurselor minerale</t>
  </si>
  <si>
    <t>ch. cu redevenţa pentru  concesionarea  bunurilor publice şi resursele minerale</t>
  </si>
  <si>
    <t>ch. cu taxa de autorizare</t>
  </si>
  <si>
    <t>ch. cu taxa de mediu</t>
  </si>
  <si>
    <t xml:space="preserve"> a) salarii de bază</t>
  </si>
  <si>
    <t xml:space="preserve"> c) alte bonificaţii (conform CCM)</t>
  </si>
  <si>
    <t xml:space="preserve"> - tichete de creşă, cf. Legii nr. 193/2006, cu modificările ulterioare;</t>
  </si>
  <si>
    <t xml:space="preserve"> - tichete cadou pentru cheltuieli sociale potrivit Legii nr. 193/2006, cu modificările ulterioare;</t>
  </si>
  <si>
    <t>b) tichete de masă;</t>
  </si>
  <si>
    <t>d) ch. privind participarea  salariaţilor la profitul obținut în anul precedent</t>
  </si>
  <si>
    <t>e) alte cheltuieli conform CCM.</t>
  </si>
  <si>
    <t>a) ch. cu plăţile compensatorii   aferente disponibilizărilor de personal</t>
  </si>
  <si>
    <t>b) ch. cu drepturile  salariale cuvenite în baza unor hotărâri judecătoreşti</t>
  </si>
  <si>
    <t>a) pentru directori/directorat</t>
  </si>
  <si>
    <t>-componenta fixă</t>
  </si>
  <si>
    <t>-componenta variabilă</t>
  </si>
  <si>
    <t>b) pentru consiliul de administraţie/consiliul de supraveghere, din care:</t>
  </si>
  <si>
    <t>d) pentru alte comisii şi comitete constituite potrivit legii</t>
  </si>
  <si>
    <t xml:space="preserve">     - către bugetul general consolidat</t>
  </si>
  <si>
    <t xml:space="preserve">     - către alţi creditori și penalități chimice</t>
  </si>
  <si>
    <t>cheltuieli privind activele imobilizate</t>
  </si>
  <si>
    <t>cheltuieli aferente transferurilor pentru plata personalului</t>
  </si>
  <si>
    <t>ch. cu amortizarea imobilizărilor corporale şi necorporale</t>
  </si>
  <si>
    <t xml:space="preserve">f) </t>
  </si>
  <si>
    <t xml:space="preserve">cheltuieli privind ajustările şi provizioanele </t>
  </si>
  <si>
    <t>f1.1)</t>
  </si>
  <si>
    <t xml:space="preserve">-provizioane privind participarea la profit a salariaţilor </t>
  </si>
  <si>
    <t>f1.2)</t>
  </si>
  <si>
    <t>- provizioane în legătură cu contractul de mandat</t>
  </si>
  <si>
    <t>venituri din provizioane şi ajustări pentru depreciere sau pierderi de valoare , din care:</t>
  </si>
  <si>
    <t>f2.1)</t>
  </si>
  <si>
    <t xml:space="preserve"> - din participarea salariaţilor la profit</t>
  </si>
  <si>
    <t xml:space="preserve"> - din deprecierea imobilizărilor corporale şi a activelor circulante</t>
  </si>
  <si>
    <t>cheltuieli privind dobânzile, din care:</t>
  </si>
  <si>
    <t>aferente creditelor pentru investiţii</t>
  </si>
  <si>
    <t>aferente creditelor pentru activitatea curentă</t>
  </si>
  <si>
    <t>cheltuieli din diferenţe de curs valutar , din care:</t>
  </si>
  <si>
    <t>alte cheltuieli financiare</t>
  </si>
  <si>
    <t>venituri neimpozabile</t>
  </si>
  <si>
    <t>cheltuieli nedeductibile fiscal</t>
  </si>
  <si>
    <t>Venituri totale din exploatare, din care:  (Rd.2)</t>
  </si>
  <si>
    <t xml:space="preserve"> - venituri din subvenții și transferuri</t>
  </si>
  <si>
    <t xml:space="preserve"> - alte venituri care nu se iau în calcul la determinarea productivității muncii, cf. Legii anuale a bugetului de stat</t>
  </si>
  <si>
    <t>x</t>
  </si>
  <si>
    <t xml:space="preserve">Nr.mediu de salariaţi </t>
  </si>
  <si>
    <t xml:space="preserve"> b)</t>
  </si>
  <si>
    <t>Elemente de calcul a productivității muncii în  unităţi fizice, din care</t>
  </si>
  <si>
    <t xml:space="preserve"> - cantitatea de produse finite (QPF)</t>
  </si>
  <si>
    <t xml:space="preserve"> - preț mediu (p)</t>
  </si>
  <si>
    <t xml:space="preserve"> - valoare= QPF x  p</t>
  </si>
  <si>
    <t xml:space="preserve"> - de la operatori cu capital integral/majoritar de stat</t>
  </si>
  <si>
    <t xml:space="preserve"> - de la operatori cu capital privat</t>
  </si>
  <si>
    <t xml:space="preserve"> - de la bugetul de stat</t>
  </si>
  <si>
    <t xml:space="preserve"> - de la bugetul local</t>
  </si>
  <si>
    <t>Credite pentru finanțarea activitații curente (soldul rămas de rambursat)</t>
  </si>
  <si>
    <t>Dr. ing. Leitner Ioan</t>
  </si>
  <si>
    <t>Gradul de realizare a veniturilor totale</t>
  </si>
  <si>
    <t xml:space="preserve">INDICATORI </t>
  </si>
  <si>
    <t>%        4=3/2</t>
  </si>
  <si>
    <t>%        7=6/5</t>
  </si>
  <si>
    <t>Aprobat</t>
  </si>
  <si>
    <t>Realizat</t>
  </si>
  <si>
    <t>1.</t>
  </si>
  <si>
    <t xml:space="preserve">Venituri din exploatare </t>
  </si>
  <si>
    <t>2.</t>
  </si>
  <si>
    <t xml:space="preserve">    Dr. Ing. Leitner Ioan</t>
  </si>
  <si>
    <t>Programul de investiţii, dotări şi sursele de finanţare</t>
  </si>
  <si>
    <t>Data finalizării investiţiei</t>
  </si>
  <si>
    <t>Valoare</t>
  </si>
  <si>
    <t>Preliminat</t>
  </si>
  <si>
    <t>Surse proprii, din care:</t>
  </si>
  <si>
    <t xml:space="preserve">  a) - amortizare</t>
  </si>
  <si>
    <t>Credite bancare, din care:</t>
  </si>
  <si>
    <t xml:space="preserve">  a) - interne</t>
  </si>
  <si>
    <t xml:space="preserve">  b) - externe</t>
  </si>
  <si>
    <t xml:space="preserve">Alte surse, din care: </t>
  </si>
  <si>
    <t>CHELTUIELI PENTRU INVESTIŢII, din care:</t>
  </si>
  <si>
    <t>Investiţii în curs, din care:</t>
  </si>
  <si>
    <t>a) pentru bunurile proprietatea privată a operatorului economic:</t>
  </si>
  <si>
    <t xml:space="preserve">   - (denumire obiectiv)</t>
  </si>
  <si>
    <t>b) pentru bunurile de natura domeniului public al statului sau al unităţii administrativ teritoriale:</t>
  </si>
  <si>
    <t>c) pentru bunurile de natura domeniului privat al statului sau al unităţii administrativ teritoriale:</t>
  </si>
  <si>
    <t>d) pentru bunurile luate în concesiune, închiriate sau în locaţie de gestiune, exclusiv cele din domeniul public sau privat al statului sau al unităţii administrativ teritoriale:</t>
  </si>
  <si>
    <t xml:space="preserve"> - Planul de lucrări de intreținere, înlocuire, dezvoltare a activelor concesionate, aprobat anual conform OUG 198/2005</t>
  </si>
  <si>
    <t>Investiţii noi, din care:</t>
  </si>
  <si>
    <t>Investiţii efectuate la imobilizările corporale existente (modernizări), din care:</t>
  </si>
  <si>
    <t>Rambursări de rate aferente creditelor pentru investiţii, din care:</t>
  </si>
  <si>
    <t xml:space="preserve">   b) - externe - BERD</t>
  </si>
  <si>
    <t xml:space="preserve">   b) - externe - BEI</t>
  </si>
  <si>
    <t>Dr. ing.Leitner Ioan</t>
  </si>
  <si>
    <t xml:space="preserve">Măsuri de îmbunătăţire a rezultatului brut şi reducere a plăţilor restante </t>
  </si>
  <si>
    <t>Nr.crt.</t>
  </si>
  <si>
    <t>Măsuri</t>
  </si>
  <si>
    <t>Termen de realizare</t>
  </si>
  <si>
    <t xml:space="preserve"> Preliminat / Realizat</t>
  </si>
  <si>
    <t xml:space="preserve">  Influenţe (+/-) </t>
  </si>
  <si>
    <t xml:space="preserve"> Influenţe   (+/-)</t>
  </si>
  <si>
    <t xml:space="preserve"> Influenţe  (+/-)</t>
  </si>
  <si>
    <t>Rezultat brut (+/-)</t>
  </si>
  <si>
    <t xml:space="preserve">Plăţi restante </t>
  </si>
  <si>
    <t>Rezultat brut</t>
  </si>
  <si>
    <t>Pct. I</t>
  </si>
  <si>
    <t>Măsura 1- plata la termen a facturilor 
emise de catre furnizori</t>
  </si>
  <si>
    <t>0</t>
  </si>
  <si>
    <t>Măsura 2 - plata sumelor restante catre 
personal</t>
  </si>
  <si>
    <t>TOTAL Pct. I</t>
  </si>
  <si>
    <t>Pct. II</t>
  </si>
  <si>
    <t>Cauze care diminuează efectul măsurilor prevăzute la Pct. I</t>
  </si>
  <si>
    <t>Cauza 1…………………….</t>
  </si>
  <si>
    <t>Cauza 2…………………….</t>
  </si>
  <si>
    <t>TOTAL Pct. II</t>
  </si>
  <si>
    <t>Pct. III</t>
  </si>
  <si>
    <t>TOTAL GENERAL Pct. I + Pct. II</t>
  </si>
  <si>
    <t>*)  în limita prevăzută la art. 25 alin. (3) lit. b din Legea nr. 227/2015 privind Codul fiscal, cu modificările și completările ulterioare</t>
  </si>
  <si>
    <t>**) se vor evidenția distinct sumele care nu se iau în calcul la determinarea creșterii câștigului mediu brut lunar, prevăzute în Legea anuală a bugetului de stat</t>
  </si>
  <si>
    <t xml:space="preserve"> - de la alte entități (p.f.)</t>
  </si>
  <si>
    <t>Nr. crt.</t>
  </si>
  <si>
    <t>UM</t>
  </si>
  <si>
    <t>Cant.</t>
  </si>
  <si>
    <t>Preț (RON)</t>
  </si>
  <si>
    <t>Secție solicitantă</t>
  </si>
  <si>
    <t>IT</t>
  </si>
  <si>
    <t>buc.</t>
  </si>
  <si>
    <t>Total  IT</t>
  </si>
  <si>
    <t>Detector metale</t>
  </si>
  <si>
    <t>Denumire</t>
  </si>
  <si>
    <t>"Fazarea Proiectului Extinderea și reabilitarea infrastructurii de apă și apă uzată în județul Satu Mare"</t>
  </si>
  <si>
    <t>31.12.2023</t>
  </si>
  <si>
    <t>Secția Carei</t>
  </si>
  <si>
    <t xml:space="preserve"> - tichete cadou ptr. cheltuieli de reclamă şi publicitate, potrivit Legii  nr.193/ 2006, cu modificările ulterioare</t>
  </si>
  <si>
    <t>Total Secția Satu Mare</t>
  </si>
  <si>
    <t>ec. Bör Darius Gheorghe</t>
  </si>
  <si>
    <t xml:space="preserve"> - venituri din alte provizioane </t>
  </si>
  <si>
    <t>Total Secția Carei</t>
  </si>
  <si>
    <t>"Sprijin pentru pregătirea Aplicației de Finanțare și a Documentațiilor de Atribuire pentru proiectul regional de dezvoltare a infrastructurii de apă și apă uzată din județul Satu Mare/Regiunea Nord-Vest, în perioada 2014-2020 "</t>
  </si>
  <si>
    <t xml:space="preserve">   a) - interne</t>
  </si>
  <si>
    <t>cheltuieli privind materialele de natura ob. de inventar</t>
  </si>
  <si>
    <t>VENITURI TOTALE  (Rd.1=Rd.2+Rd.5)</t>
  </si>
  <si>
    <t>CHELTUIELI TOTALE  (Rd.6=Rd.7+Rd.19)</t>
  </si>
  <si>
    <t>Cheltuieli de exploatare, (Rd.7=Rd.8+Rd.9+Rd.10+Rd.18) din care:</t>
  </si>
  <si>
    <t>cheltuieli cu personalul, (Rd.10=Rd.11+Rd.14+Rd.16+Rd.17) din care:</t>
  </si>
  <si>
    <t>Cheltuieli de natură salarială (Rd.11=Rd.12+Rd.13)</t>
  </si>
  <si>
    <t>REZULTATUL BRUT (profit/pierdere)                                              (Rd.20=Rd.1-Rd.6)</t>
  </si>
  <si>
    <t>IMPOZIT PE PROFIT CURENT</t>
  </si>
  <si>
    <t>IMPOZIT PE PROFIT AMÂNAT</t>
  </si>
  <si>
    <t>VENITURI DIN IMPOZITUL PE PROFIT AMÂNAT</t>
  </si>
  <si>
    <t>IMPOZITUL SPECIFIC UNOR ACTIVITĂȚI</t>
  </si>
  <si>
    <t>ALTE IMPOZITE NEPREZENTATE LA ELEMENTELE DE MAI SUS</t>
  </si>
  <si>
    <t>PROFITUL/PIERDEREA NETĂ A PERIOADEI DE RAPORTARE  (Rd.26=Rd.20-Rd.21-Rd.22+Rd.23-Rd.24-Rd.25), din care:</t>
  </si>
  <si>
    <t>Profitul contabil rămas după deducerea sumelor de la Rd. 27,28,29,30,31 (Rd.32=Rd.26-(Rd.27 la Rd.31)&gt;=0)</t>
  </si>
  <si>
    <t>Profitul nerepartizat pe destinaţiile prevăzute la Rd.33 - Rd.34 se repartizează la alte rezerve şi constituie sursă proprie de finanţare</t>
  </si>
  <si>
    <t>Productivitatea muncii în unităţi valorice pe total personal mediu (mii lei/persoană) (Rd.2/Rd.51)</t>
  </si>
  <si>
    <t>Cheltuieli totale la 1000 lei venituri totale       (Rd.57=(Rd.6/Rd.1)x1000)</t>
  </si>
  <si>
    <t>VENITURI TOTALE (Rd.2+Rd.22)</t>
  </si>
  <si>
    <t xml:space="preserve">din producţia vândută (Rd.3=Rd.4+Rd.5+Rd.6+Rd.7), din care: </t>
  </si>
  <si>
    <t>alte venituri - venituri din lucrări IID</t>
  </si>
  <si>
    <t>din vânzarea activelor şi alte operaţii de capital (Rd.17+Rd.18), din care:</t>
  </si>
  <si>
    <t>Venituri financiare (Rd.22=Rd.23+Rd.24+Rd.25+Rd.26+Rd.27),                    din care:</t>
  </si>
  <si>
    <t>CHELTUIELI TOTALE  (Rd.28=Rd.29+Rd.130)</t>
  </si>
  <si>
    <t xml:space="preserve">Cheltuieli de exploatare (Rd.29=Rd.30+Rd.78+Rd.85+Rd.113), din care: </t>
  </si>
  <si>
    <t xml:space="preserve">A. Cheltuieli cu bunuri şi servicii (Rd.31+Rd.39+Rd.45), din care: </t>
  </si>
  <si>
    <t xml:space="preserve">Cheltuieli privind serviciile executate de terţi (Rd.39=Rd.40+Rd.41+Rd.44), din care: </t>
  </si>
  <si>
    <t>cheltuieli privind chiriile (Rd.41=Rd.42+Rd.43) din care:</t>
  </si>
  <si>
    <t>chelt. de protocol,reclamă şi publicitate(Rd.50+Rd.52), din care:</t>
  </si>
  <si>
    <t>Ch. cu sponsorizarea potrivit O.U.G.nr.2/2015 (Rd.56=Rd.57+Rd.58+Rd.60), din care:</t>
  </si>
  <si>
    <t xml:space="preserve">     - cheltuieli cu diurna (Rd.64+Rd.65), din care: </t>
  </si>
  <si>
    <t xml:space="preserve">B  Cheltuieli cu impozite, taxe şi vărsăminte asimilate (Rd.78=Rd.79+Rd.80+Rd.81+Rd.82+Rd.83+Rd.84), din care: </t>
  </si>
  <si>
    <t>ch. cu taxa de licenţă</t>
  </si>
  <si>
    <t>C. Ch. cu personalul (Rd.85=Rd.86+Rd.99+Rd.103+Rd.112), din care:</t>
  </si>
  <si>
    <t>Cheltuieli de natură salarială (Rd.86=Rd.87+ Rd.91)</t>
  </si>
  <si>
    <t>Cheltuieli  cu salariile (Rd.87=Rd.88+Rd.89+Rd.90), din care:</t>
  </si>
  <si>
    <t xml:space="preserve">Bonusuri (Rd.91=Rd.92+Rd.95+Rd.96+Rd.97+Rd.98), din care: </t>
  </si>
  <si>
    <t>c) vouchere de vacanţă;</t>
  </si>
  <si>
    <t>Alte chelt. cu personalul (Rd.100+Rd.101+Rd.102), din care:</t>
  </si>
  <si>
    <t xml:space="preserve">c) cheltuieli de natură salarială aferente restructurarii, privatizarii, administrator special, alte comisii și comitete  </t>
  </si>
  <si>
    <t>Cheltuieli aferente contractului de mandat si a altor organe de conducere si control, comisii si comitete (Rd.103=Rd.104+Rd.107+Rd.110+ Rd.111), din care:</t>
  </si>
  <si>
    <t>c) pentru cenzori</t>
  </si>
  <si>
    <t>D. Alte cheltuieli de exploatare (Rd.113=Rd.114+Rd.117+Rd.118+Rd.119+Rd.120+Rd.121), din care:</t>
  </si>
  <si>
    <t>cheltuieli cu majorări şi penalităţi (Rd.115+Rd.116), din care:</t>
  </si>
  <si>
    <t>ajustări şi deprecieri pentru pierdere de valoare şi provizioane (Rd.121=Rd.122-Rd.125), din care:</t>
  </si>
  <si>
    <t>din anularea provizioanelor (Rd.127+Rd.128+Rd.129), din care:</t>
  </si>
  <si>
    <t xml:space="preserve">Cheltuieli financiare (Rd.131+Rd.134+Rd.137), din care: </t>
  </si>
  <si>
    <t>REZULTATUL BRUT (profit/pierdere)   (Rd.138=Rd.1-Rd.28)</t>
  </si>
  <si>
    <t xml:space="preserve">Cheltuieli totale din exploatare, Rd.29, din care: </t>
  </si>
  <si>
    <t>alte cheltuieli din exploatare care nu se iau în calcul la determinarea rezultatului brut realizat în anul precedent, cf. Legii anuale a bugetului de stat</t>
  </si>
  <si>
    <t>Cheltuieli de natură salarială (Rd.86), din care:  **)</t>
  </si>
  <si>
    <t>147   a)</t>
  </si>
  <si>
    <t>147  b)</t>
  </si>
  <si>
    <t>Câștigul mediu lunar pe salariat (lei/persoană) determinat pe baza cheltuielilor de natură salarială ((Rd.147/Rd.149)/12*1000)</t>
  </si>
  <si>
    <t>Productivitatea muncii în unităţi valorice pe total personal mediu (mii lei/persoană) (Rd.2/Rd.149)</t>
  </si>
  <si>
    <t>Productivitatea muncii în unităţi fizice pe total personal mediu (cantitate produse finite/persoană) W=QPF/Rd.149</t>
  </si>
  <si>
    <t>Redistribuiri/distribuiri totale cf. OUG 29/2017 din:</t>
  </si>
  <si>
    <t>alte rezerve</t>
  </si>
  <si>
    <t>rezultatul reportat</t>
  </si>
  <si>
    <t xml:space="preserve"> - pondere în venituri totale de exploatare=Rd.157/Rd.2</t>
  </si>
  <si>
    <t>Venituri totale (rd.1+rd.2)  *), din care:</t>
  </si>
  <si>
    <t>*) Veniturile totale și de exploatare vor fi diminuate cu veniturile rezultate ca urmare a sumelor primite de la bugetul de stat</t>
  </si>
  <si>
    <t>Câștigul mediu  lunar pe salariat (lei/persoană) determinat pe baza cheltuielilor de natură salarială  Rd.52 = Rd.151 din Anexa 2</t>
  </si>
  <si>
    <t>Câștigul mediu lunar pe salariat (lei/persoană) determinat pe baza cheltuielilor de natură salarială, recalculat cf. Legii anuale a bugetului de stat, Rd. 53 = Rd. 152 din Anexa nr. 2</t>
  </si>
  <si>
    <t>cheltuieli privind recrutarea şi plasarea personalului de conducere cf. OUG nr. 109/2011</t>
  </si>
  <si>
    <t>Secția Livada</t>
  </si>
  <si>
    <t>Total Secția Livada</t>
  </si>
  <si>
    <t>Total General Administrative</t>
  </si>
  <si>
    <t>Stație încărcare autovehicule electrice</t>
  </si>
  <si>
    <t>Secția Apă</t>
  </si>
  <si>
    <t>Secția Canal</t>
  </si>
  <si>
    <t>APASERV SATU MARE S.A.                                                                                                               Str.Gara Ferăstrău, Nr.9/A, Satu Mare                                                                                                                 CUI: RO 16844952</t>
  </si>
  <si>
    <t>Dotări (alte achiziţii de imobilizări corporale/necorporale)</t>
  </si>
  <si>
    <t xml:space="preserve">Creanţe restante (facturi apă-canal și diverse servicii),din care: </t>
  </si>
  <si>
    <t>APASERV SATU MARE S.A.                                          Str.Gara Ferăstrău, Nr.9/A, Satu Mare                                                CUI: RO 16844952</t>
  </si>
  <si>
    <t>APASERV SATU MARE S.A.                                                                                                               Str.Gara Ferăstrău, Nr.9/A, Satu Mare                                                                              CUI: RO 16844952</t>
  </si>
  <si>
    <t xml:space="preserve"> APASERV SATU MARE S.A.                                                                                                               Str.Gara Ferăstrău, Nr.9/A, Satu Mare                                                                              CUI: RO 16844952</t>
  </si>
  <si>
    <t>- lei -</t>
  </si>
  <si>
    <t xml:space="preserve">Valoare totală </t>
  </si>
  <si>
    <t>Administrativ</t>
  </si>
  <si>
    <t>buc</t>
  </si>
  <si>
    <t>Total Secția Apă</t>
  </si>
  <si>
    <t>Total Secția Canal</t>
  </si>
  <si>
    <t>MAI compactor</t>
  </si>
  <si>
    <t>Secția Negrești</t>
  </si>
  <si>
    <t xml:space="preserve">Remorcă pentru miniexcavator  </t>
  </si>
  <si>
    <t>Total Secția Negrești Oaș</t>
  </si>
  <si>
    <t>Secția Tășnad</t>
  </si>
  <si>
    <t>Total Secția Tășnad</t>
  </si>
  <si>
    <t>Tricicletă electrică</t>
  </si>
  <si>
    <t>TOTAL GENERAL</t>
  </si>
  <si>
    <t xml:space="preserve"> Director General</t>
  </si>
  <si>
    <t>Utilaj de subtraversare</t>
  </si>
  <si>
    <t>Contracte de finanțare(Fonduri de Coeziune,Buget de stat și Buget local)</t>
  </si>
  <si>
    <t>Fond IID conform OUG 198/2005</t>
  </si>
  <si>
    <t xml:space="preserve">  c) - profit (profit realizat în an + profit repartizat la surse proprii și neutilizat în anii anteriori)</t>
  </si>
  <si>
    <t xml:space="preserve">Director economic      </t>
  </si>
  <si>
    <t>Estimări an 2024</t>
  </si>
  <si>
    <r>
      <t>cheltuieli de deplasare, detaşare, transfer,</t>
    </r>
    <r>
      <rPr>
        <sz val="11"/>
        <rFont val="Calibri"/>
        <family val="2"/>
      </rPr>
      <t xml:space="preserve"> din care:</t>
    </r>
  </si>
  <si>
    <r>
      <t xml:space="preserve"> - </t>
    </r>
    <r>
      <rPr>
        <i/>
        <sz val="11"/>
        <rFont val="Calibri"/>
        <family val="2"/>
      </rPr>
      <t>aferente bunurilor de natura domeniului public</t>
    </r>
  </si>
  <si>
    <t>ec.  Bör Darius Gheorghe</t>
  </si>
  <si>
    <t>cheltuieli cu combustibilii fosili</t>
  </si>
  <si>
    <t>147 c)</t>
  </si>
  <si>
    <t>Modernizare și amenajare casierie M. Viteazu - Satu Mare</t>
  </si>
  <si>
    <t>Creșterea eficienței energetice prin montarea de panouri fotovoltaice la sediul central</t>
  </si>
  <si>
    <t>Echipamente IT (UPS-uri, routere, switch-uri, PC-uri, laptop-uri, alte echipamente și dotări IT)</t>
  </si>
  <si>
    <t>Implementare Active Directory cu softul necesar</t>
  </si>
  <si>
    <t>Server complet echipat cu instalare</t>
  </si>
  <si>
    <t>Aparat sudură electrofuziune</t>
  </si>
  <si>
    <t>Mașină tăiat beton</t>
  </si>
  <si>
    <t>Alim.com.</t>
  </si>
  <si>
    <t>Dezumidificator aer</t>
  </si>
  <si>
    <t xml:space="preserve">St. Pompare    </t>
  </si>
  <si>
    <t>Trepied cu troliu și ham</t>
  </si>
  <si>
    <t>St. Epurare</t>
  </si>
  <si>
    <t>Motopompă ape uzate</t>
  </si>
  <si>
    <t>Miniexcavator pe senile</t>
  </si>
  <si>
    <t xml:space="preserve">Centrală termică murală cu condensație, pe gaz,≈ 60kW (Clădire administrativă corp A+B) </t>
  </si>
  <si>
    <t>Autoutilitară cu benă basculabilă și macara</t>
  </si>
  <si>
    <t>Autoutilitară  cu benă basculabilă și macara</t>
  </si>
  <si>
    <t>Software/Dezvoltări Software (Emsys, citiri, altele)</t>
  </si>
  <si>
    <t>Autovehicul electric</t>
  </si>
  <si>
    <t xml:space="preserve">Centrală termică </t>
  </si>
  <si>
    <t>Licențe/programe software(sisteme de operare, programe de editare, software de proiectare / devize, alte programe / licențe software)</t>
  </si>
  <si>
    <t>Detector acustic pierderi de apă</t>
  </si>
  <si>
    <t>BUGETUL  DE  VENITURI  ŞI  CHELTUIELI  PE  ANUL 2023</t>
  </si>
  <si>
    <t>Preliminat         an 2022</t>
  </si>
  <si>
    <t>Propuneri  an 2023</t>
  </si>
  <si>
    <t>Estimări an 2025</t>
  </si>
  <si>
    <t>Detalierea indicatorilor economico-financiari prevăzuţi                                                                                                                                                                                                    în bugetul de venituri şi cheltuieli și repartizarea pe trimestre a acestora, pe anul 2023</t>
  </si>
  <si>
    <t>Realizat            an 2021</t>
  </si>
  <si>
    <t>Prevederi an 2022</t>
  </si>
  <si>
    <t>cf. H.C.A. 39/2022</t>
  </si>
  <si>
    <t>cf. H.AGA 12/2022</t>
  </si>
  <si>
    <t>Preliminat 2022</t>
  </si>
  <si>
    <t>Propuneri an 2023</t>
  </si>
  <si>
    <t>Prevederi an (N-2) 2021</t>
  </si>
  <si>
    <t>Prevederi an precedent (N-1) 2022</t>
  </si>
  <si>
    <t>an precedent (N-1) 2022</t>
  </si>
  <si>
    <t>an curent (N) 2023</t>
  </si>
  <si>
    <t>an N+1 2024</t>
  </si>
  <si>
    <t>an N+2 2025</t>
  </si>
  <si>
    <t>an curent (N)                  2023</t>
  </si>
  <si>
    <t>an N+1                            2024</t>
  </si>
  <si>
    <t>an N+2                                        2025</t>
  </si>
  <si>
    <t>PROGRAM DE INVESTIȚII DIN SURSE PROPRII PENTRU ANUL 2023</t>
  </si>
  <si>
    <t>sumele reprezentând creșteri ale cheltuielilor de natură salarială aferente indicelui mediu de creștere a prețurilor prognozat pentru anul 2023</t>
  </si>
  <si>
    <t>sumele reprezentând creșteri ale câștigului mediu brut pe salariat datorate majorării salariului de bază minim brut pe țară garantat în plată și alte cheltuieli de natură salarială, potrivit prev. H.G. nr. 1447/2022, în conformitate cu Legea Bugetului de Stat 2023 art. 63 alin. (1) lit. b)</t>
  </si>
  <si>
    <t>sumele reprezentând creșteri ale cheltuielilor de natură salarială aferente reîntregirii acestora, pentru întregul an 2023, în conformitate cu Legea Bugetului de Stat 2023 art. 63 alin. (1) lit. c)</t>
  </si>
  <si>
    <r>
      <t>cheltuieli cu alte taxe şi impozite</t>
    </r>
    <r>
      <rPr>
        <sz val="11"/>
        <color indexed="10"/>
        <rFont val="Calibri"/>
        <family val="2"/>
      </rPr>
      <t xml:space="preserve"> </t>
    </r>
  </si>
  <si>
    <t>Productivitatea muncii în unități valorice pe total personal mediu recalculată cf. Legii anuale a bugetului de stat 2023 art. 63 alin. (5)</t>
  </si>
  <si>
    <t>Câştigul mediu  lunar pe salariat (lei/persoană) determinat pe baza cheltuielilor de natură salarială, cf. OG26/2013 art. 3 lit. f) [(Rd.147-Rd.92*-Rd.97)/Rd.149]/12*1000</t>
  </si>
  <si>
    <t>Câştigul mediu  lunar pe salariat (lei/persoană) determinat pe baza cheltuielilor de natură salarială, recalculat cf. OG26/2013 și Legii anuale a bugetului de stat 2023 art. 63. alin. (4) [(Rd.147-Rd.92*-Rd.97-Rd.147a)-Rd.147b) )/Rd.149]/12*1000. Pentru comparabilitate s-a aplicat aceeași formulă pt. anul 2022 ca și pentru anul 2023</t>
  </si>
  <si>
    <t xml:space="preserve">   “Proiectul regional de dezvoltare a infrastructurii de apă şi apă uzată din județul Satu Mare/Regiunea Nord-Vest, în perioada 2014 – 2020”</t>
  </si>
  <si>
    <t>Creșterea eficienței energetice pentru serviciile publice de alimentare cu apă și canalizare ale APASERV SM prin utilizarea sursei de energie regenerabilă” finantat prin Programul SMEs Growth Programme, Energy Programme in Romania - Innovation Norway. Valoare proiect 9.215.901 lei fără TVA. Fonduri Norvegiene 80%</t>
  </si>
  <si>
    <t>Digitalizarea proceselor de citire a contorarelor și detectare a pierderilor de apă în județul Satu Mare - valoare totală proiect 9.852.903 LEI fără TVA. Cofinanțare APS - 591.174 lei fără TVA</t>
  </si>
  <si>
    <t>Centrale de producere a energiei electrice din sursă regenerabilă solară –Apaserv Satu Mare S.A.” (cheltuieli eligibile +cheltuieli neeligibile) valoare totală proiect - 5.668.408 lei fără TVA - PNRR. Cofinanțare APS  3.484.954 lei fără TVA</t>
  </si>
  <si>
    <t>Sprijinirea conectării populației cu venbituri mici la rețelele de alimentare cu apă și canalizare existente din aria de operare a Apaserv Satu Mare. Valoare proiect 19.487 mii lei fără TVA. Fără cofinanțare APS</t>
  </si>
  <si>
    <t>Instalare centrale fotovoltaice și racordare la instalații electrice de utilizare pentru Apaserv Satu Mare, Etapa 1. Valoare totală proiect 20.836.041 lei fără TVA. Cofinanțare APS 1.250.163 lei fără TVA</t>
  </si>
  <si>
    <t xml:space="preserve">  b) - amortizarea din anii anteriori (2010-2021) = col.5 / (2010-2022) = col. 6 / (2010-2023) = col. 7 / (2010-2024) = col. 8</t>
  </si>
  <si>
    <t>Front captare</t>
  </si>
  <si>
    <t>Aparat sudură industrial</t>
  </si>
  <si>
    <t>Secția apă</t>
  </si>
  <si>
    <t>Placă compactoare</t>
  </si>
  <si>
    <t>Motoferăstrău</t>
  </si>
  <si>
    <t>Motopompă apă murdară</t>
  </si>
  <si>
    <t>Generator de curent</t>
  </si>
  <si>
    <t>Ciocan rotopercutor SDS MAX</t>
  </si>
  <si>
    <t>Electropompă intervenții</t>
  </si>
  <si>
    <t>Electropalan cu cârlig</t>
  </si>
  <si>
    <t>WC</t>
  </si>
  <si>
    <t>Cameră video pentru inspecție canalizare</t>
  </si>
  <si>
    <t>Polizor unghiular</t>
  </si>
  <si>
    <t>Motocoasă</t>
  </si>
  <si>
    <t>Cărucior elevator</t>
  </si>
  <si>
    <t>Utilaj de subtraversare DN130</t>
  </si>
  <si>
    <t>Utilaj de subtraversare DN90</t>
  </si>
  <si>
    <t>Compresor stație apă Sanislău</t>
  </si>
  <si>
    <t>Compresor stație apă Doba</t>
  </si>
  <si>
    <t>Nivelă cu laser, rotativă exterior</t>
  </si>
  <si>
    <t>Motodebitator</t>
  </si>
  <si>
    <t>Aparat de sudură electrofuziune</t>
  </si>
  <si>
    <t>Aparat de sudură cap la cap</t>
  </si>
  <si>
    <t>Dispozitiv răzuit strat exterior țeavă PE</t>
  </si>
  <si>
    <t>Mașină de găurit</t>
  </si>
  <si>
    <t>Cort  gonflabil</t>
  </si>
  <si>
    <t>Debitmetru ultrasonic portabil</t>
  </si>
  <si>
    <t>Încălzitor aer cu motorină</t>
  </si>
  <si>
    <t>Troliu electric</t>
  </si>
  <si>
    <t>Autovehicul  electric</t>
  </si>
  <si>
    <t>Debitmetru electromagnetic</t>
  </si>
  <si>
    <t>Multifuncțională A3</t>
  </si>
  <si>
    <t>Multifuncțională A4</t>
  </si>
  <si>
    <t>Creșterea eficienței energetice prin montarea de panouri fotovoltaice la sediile Apaserv</t>
  </si>
  <si>
    <t>Linie de îmbuteliere lichide</t>
  </si>
  <si>
    <t xml:space="preserve">buc. </t>
  </si>
  <si>
    <t xml:space="preserve">Aparat aer condiționat </t>
  </si>
  <si>
    <t>Mecano energetic</t>
  </si>
  <si>
    <t>Secția apă, Uz. Mărtinești</t>
  </si>
  <si>
    <t>Alim. Com.</t>
  </si>
  <si>
    <t>BAPFE, Adm.</t>
  </si>
  <si>
    <t>St.P./S.C.</t>
  </si>
  <si>
    <t>Acumulator pentru sistemele SCADA</t>
  </si>
  <si>
    <t xml:space="preserve">Ch. cu alte servicii executate de terţi (Rd.45=Rd.46+Rd.47+ Rd.49+Rd.56+Rd.61+Rd.62+Rd.66+Rd.67+Rd.68+Rd.77) din care: </t>
  </si>
  <si>
    <t>a) ch. sociale prevăzute la art. 25 din Legea 227/2015 privind  Codul fiscal *), din care:</t>
  </si>
  <si>
    <t>Venituri totale din exploatare (Rd.2= Rd.3+Rd.8+Rd.9+Rd.12 +Rd.13+Rd.14), din care:</t>
  </si>
  <si>
    <t>Cheltuieli privind stocurile (Rd.31=Rd.32+Rd.33+Rd.36+Rd.37 +Rd.38), din care:</t>
  </si>
  <si>
    <t xml:space="preserve"> b) sporuri, prime şi alte bonificaţii aferente salariului de bază           (și conform CCM)</t>
  </si>
  <si>
    <t>Transport</t>
  </si>
  <si>
    <t>Anexa nr. 6 la HCL 58/23.02.2023</t>
  </si>
  <si>
    <t>Președinte de ședință</t>
  </si>
  <si>
    <t>Secretar general</t>
  </si>
  <si>
    <t>Anexa nr. 5 la HCL 58/23.02.2023</t>
  </si>
  <si>
    <t>Anexa nr. 4 la HCL 58/23.02.2023</t>
  </si>
  <si>
    <t>Anexa nr. 3 LA hcl 58/23.02.2023</t>
  </si>
  <si>
    <t>Anexa nr. 2 la HCL 58/23.02.2023</t>
  </si>
  <si>
    <t>Anexa nr. 1 la HCL 58/23.02.2023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</si>
</sst>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00\ _l_e_i_-;\-* #,##0.00\ _l_e_i_-;_-* \-??\ _l_e_i_-;_-@_-"/>
    <numFmt numFmtId="166" formatCode="_-* #,##0\ _l_e_i_-;\-* #,##0\ _l_e_i_-;_-* \-??\ _l_e_i_-;_-@_-"/>
    <numFmt numFmtId="167" formatCode="0.0%"/>
    <numFmt numFmtId="168" formatCode="_(* #,##0_);_(* \(#,##0\);_(* &quot;-&quot;??_);_(@_)"/>
    <numFmt numFmtId="169" formatCode="0.0"/>
    <numFmt numFmtId="170" formatCode="#,##0.0"/>
  </numFmts>
  <fonts count="42" x14ac:knownFonts="1">
    <font>
      <sz val="10"/>
      <name val="Arial"/>
      <charset val="238"/>
    </font>
    <font>
      <sz val="10"/>
      <name val="Arial"/>
      <family val="2"/>
    </font>
    <font>
      <sz val="10"/>
      <name val="Arial"/>
      <family val="2"/>
    </font>
    <font>
      <b/>
      <sz val="12"/>
      <name val="Arial"/>
      <family val="2"/>
    </font>
    <font>
      <b/>
      <sz val="10"/>
      <name val="Arial"/>
      <family val="2"/>
    </font>
    <font>
      <b/>
      <sz val="11"/>
      <name val="Arial"/>
      <family val="2"/>
    </font>
    <font>
      <b/>
      <sz val="8"/>
      <name val="Arial"/>
      <family val="2"/>
    </font>
    <font>
      <sz val="10"/>
      <color indexed="10"/>
      <name val="Arial"/>
      <family val="2"/>
    </font>
    <font>
      <sz val="11"/>
      <color indexed="8"/>
      <name val="Calibri"/>
      <family val="2"/>
    </font>
    <font>
      <sz val="8"/>
      <name val="Arial"/>
      <family val="2"/>
    </font>
    <font>
      <sz val="6"/>
      <name val="Arial"/>
      <family val="2"/>
    </font>
    <font>
      <b/>
      <sz val="6"/>
      <name val="Arial"/>
      <family val="2"/>
    </font>
    <font>
      <b/>
      <sz val="9"/>
      <name val="Arial"/>
      <family val="2"/>
    </font>
    <font>
      <sz val="11"/>
      <name val="Arial"/>
      <family val="2"/>
    </font>
    <font>
      <sz val="10"/>
      <name val="Arial"/>
      <family val="2"/>
    </font>
    <font>
      <sz val="11"/>
      <name val="Calibri"/>
      <family val="2"/>
    </font>
    <font>
      <i/>
      <sz val="11"/>
      <name val="Calibri"/>
      <family val="2"/>
    </font>
    <font>
      <sz val="11"/>
      <color theme="1"/>
      <name val="Calibri"/>
      <family val="2"/>
      <scheme val="minor"/>
    </font>
    <font>
      <sz val="11"/>
      <color rgb="FF9C0006"/>
      <name val="Calibri"/>
      <family val="2"/>
      <scheme val="minor"/>
    </font>
    <font>
      <sz val="11"/>
      <color rgb="FFFF0000"/>
      <name val="Calibri"/>
      <family val="2"/>
      <scheme val="minor"/>
    </font>
    <font>
      <b/>
      <sz val="10"/>
      <color rgb="FFFF0000"/>
      <name val="Arial"/>
      <family val="2"/>
    </font>
    <font>
      <b/>
      <sz val="12"/>
      <color rgb="FFFF0000"/>
      <name val="Arial"/>
      <family val="2"/>
    </font>
    <font>
      <sz val="10"/>
      <color rgb="FFFF0000"/>
      <name val="Arial"/>
      <family val="2"/>
    </font>
    <font>
      <b/>
      <sz val="11"/>
      <name val="Calibri"/>
      <family val="2"/>
      <scheme val="minor"/>
    </font>
    <font>
      <b/>
      <sz val="10"/>
      <name val="Calibri"/>
      <family val="2"/>
      <scheme val="minor"/>
    </font>
    <font>
      <sz val="10"/>
      <name val="Calibri"/>
      <family val="2"/>
      <scheme val="minor"/>
    </font>
    <font>
      <sz val="11"/>
      <name val="Calibri"/>
      <family val="2"/>
      <scheme val="minor"/>
    </font>
    <font>
      <b/>
      <sz val="11"/>
      <color rgb="FFFF0000"/>
      <name val="Calibri"/>
      <family val="2"/>
      <scheme val="minor"/>
    </font>
    <font>
      <sz val="11"/>
      <color indexed="8"/>
      <name val="Calibri"/>
      <family val="2"/>
      <scheme val="minor"/>
    </font>
    <font>
      <b/>
      <sz val="11"/>
      <color rgb="FF000000"/>
      <name val="Calibri"/>
      <family val="2"/>
      <scheme val="minor"/>
    </font>
    <font>
      <b/>
      <sz val="11"/>
      <color indexed="8"/>
      <name val="Calibri"/>
      <family val="2"/>
      <scheme val="minor"/>
    </font>
    <font>
      <sz val="8"/>
      <color rgb="FFFF0000"/>
      <name val="Arial"/>
      <family val="2"/>
    </font>
    <font>
      <b/>
      <sz val="9"/>
      <name val="Calibri"/>
      <family val="2"/>
      <scheme val="minor"/>
    </font>
    <font>
      <b/>
      <sz val="14"/>
      <name val="Calibri"/>
      <family val="2"/>
      <scheme val="minor"/>
    </font>
    <font>
      <sz val="10"/>
      <color rgb="FF9C0006"/>
      <name val="Calibri"/>
      <family val="2"/>
      <scheme val="minor"/>
    </font>
    <font>
      <i/>
      <sz val="11"/>
      <name val="Calibri"/>
      <family val="2"/>
      <scheme val="minor"/>
    </font>
    <font>
      <b/>
      <sz val="11"/>
      <color rgb="FFFF0000"/>
      <name val="Arial"/>
      <family val="2"/>
    </font>
    <font>
      <sz val="10"/>
      <color theme="1"/>
      <name val="Arial"/>
      <family val="2"/>
    </font>
    <font>
      <sz val="11"/>
      <color indexed="10"/>
      <name val="Calibri"/>
      <family val="2"/>
    </font>
    <font>
      <sz val="11"/>
      <color rgb="FF00B050"/>
      <name val="Arial"/>
      <family val="2"/>
    </font>
    <font>
      <b/>
      <sz val="10"/>
      <color rgb="FFFF0000"/>
      <name val="Arial"/>
      <family val="2"/>
      <charset val="238"/>
    </font>
    <font>
      <b/>
      <sz val="11"/>
      <color rgb="FFFF0000"/>
      <name val="Calibri"/>
      <family val="2"/>
      <charset val="238"/>
      <scheme val="minor"/>
    </font>
  </fonts>
  <fills count="8">
    <fill>
      <patternFill patternType="none"/>
    </fill>
    <fill>
      <patternFill patternType="gray125"/>
    </fill>
    <fill>
      <patternFill patternType="solid">
        <fgColor indexed="9"/>
        <bgColor indexed="26"/>
      </patternFill>
    </fill>
    <fill>
      <patternFill patternType="solid">
        <fgColor rgb="FFFFC7CE"/>
      </patternFill>
    </fill>
    <fill>
      <patternFill patternType="solid">
        <fgColor theme="0"/>
        <bgColor indexed="64"/>
      </patternFill>
    </fill>
    <fill>
      <patternFill patternType="solid">
        <fgColor theme="8" tint="0.79998168889431442"/>
        <bgColor indexed="8"/>
      </patternFill>
    </fill>
    <fill>
      <patternFill patternType="solid">
        <fgColor theme="8" tint="0.79998168889431442"/>
        <bgColor indexed="64"/>
      </patternFill>
    </fill>
    <fill>
      <patternFill patternType="solid">
        <fgColor theme="0"/>
        <bgColor indexed="8"/>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diagonal/>
    </border>
    <border>
      <left style="thin">
        <color indexed="8"/>
      </left>
      <right/>
      <top/>
      <bottom style="thin">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top style="thin">
        <color indexed="8"/>
      </top>
      <bottom/>
      <diagonal/>
    </border>
    <border>
      <left style="medium">
        <color indexed="8"/>
      </left>
      <right style="thin">
        <color indexed="8"/>
      </right>
      <top/>
      <bottom style="medium">
        <color indexed="8"/>
      </bottom>
      <diagonal/>
    </border>
    <border>
      <left style="thin">
        <color indexed="8"/>
      </left>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top/>
      <bottom/>
      <diagonal/>
    </border>
    <border>
      <left/>
      <right/>
      <top style="thin">
        <color indexed="8"/>
      </top>
      <bottom style="thin">
        <color indexed="8"/>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diagonal/>
    </border>
    <border>
      <left/>
      <right/>
      <top style="thin">
        <color indexed="64"/>
      </top>
      <bottom style="thin">
        <color indexed="64"/>
      </bottom>
      <diagonal/>
    </border>
    <border>
      <left style="thin">
        <color indexed="64"/>
      </left>
      <right/>
      <top/>
      <bottom/>
      <diagonal/>
    </border>
    <border>
      <left style="thin">
        <color indexed="8"/>
      </left>
      <right style="medium">
        <color indexed="8"/>
      </right>
      <top style="thin">
        <color indexed="8"/>
      </top>
      <bottom style="thin">
        <color indexed="8"/>
      </bottom>
      <diagonal/>
    </border>
    <border>
      <left style="medium">
        <color indexed="64"/>
      </left>
      <right style="thin">
        <color indexed="64"/>
      </right>
      <top style="thin">
        <color indexed="8"/>
      </top>
      <bottom style="thin">
        <color indexed="64"/>
      </bottom>
      <diagonal/>
    </border>
    <border>
      <left style="medium">
        <color indexed="64"/>
      </left>
      <right style="thin">
        <color indexed="8"/>
      </right>
      <top style="thin">
        <color indexed="64"/>
      </top>
      <bottom/>
      <diagonal/>
    </border>
    <border>
      <left style="medium">
        <color indexed="64"/>
      </left>
      <right style="thin">
        <color indexed="64"/>
      </right>
      <top style="thin">
        <color indexed="64"/>
      </top>
      <bottom style="thin">
        <color indexed="64"/>
      </bottom>
      <diagonal/>
    </border>
  </borders>
  <cellStyleXfs count="12">
    <xf numFmtId="0" fontId="0" fillId="0" borderId="0"/>
    <xf numFmtId="0" fontId="18" fillId="3" borderId="0" applyNumberFormat="0" applyBorder="0" applyAlignment="0" applyProtection="0"/>
    <xf numFmtId="165" fontId="14" fillId="0" borderId="0" applyFill="0" applyBorder="0" applyAlignment="0" applyProtection="0"/>
    <xf numFmtId="0" fontId="2" fillId="0" borderId="0"/>
    <xf numFmtId="0" fontId="2" fillId="0" borderId="0"/>
    <xf numFmtId="0" fontId="8" fillId="0" borderId="0"/>
    <xf numFmtId="0" fontId="17" fillId="0" borderId="0"/>
    <xf numFmtId="0" fontId="2" fillId="0" borderId="0"/>
    <xf numFmtId="0" fontId="2" fillId="0" borderId="0"/>
    <xf numFmtId="0" fontId="2" fillId="0" borderId="0"/>
    <xf numFmtId="0" fontId="2" fillId="0" borderId="0"/>
    <xf numFmtId="9" fontId="1" fillId="0" borderId="0" applyFill="0" applyBorder="0" applyAlignment="0" applyProtection="0"/>
  </cellStyleXfs>
  <cellXfs count="444">
    <xf numFmtId="0" fontId="0" fillId="0" borderId="0" xfId="0"/>
    <xf numFmtId="0" fontId="2" fillId="0" borderId="0" xfId="7" applyAlignment="1">
      <alignment horizontal="center" vertical="center"/>
    </xf>
    <xf numFmtId="0" fontId="2" fillId="0" borderId="0" xfId="7" applyAlignment="1">
      <alignment vertical="center"/>
    </xf>
    <xf numFmtId="0" fontId="2" fillId="0" borderId="0" xfId="7" applyAlignment="1">
      <alignment vertical="center" wrapText="1"/>
    </xf>
    <xf numFmtId="0" fontId="2" fillId="0" borderId="0" xfId="7" applyAlignment="1">
      <alignment horizontal="center"/>
    </xf>
    <xf numFmtId="0" fontId="2" fillId="0" borderId="0" xfId="7"/>
    <xf numFmtId="0" fontId="3" fillId="0" borderId="0" xfId="7" applyFont="1" applyAlignment="1">
      <alignment horizontal="center"/>
    </xf>
    <xf numFmtId="0" fontId="4" fillId="0" borderId="0" xfId="7" applyFont="1" applyAlignment="1">
      <alignment horizontal="center"/>
    </xf>
    <xf numFmtId="0" fontId="3" fillId="0" borderId="0" xfId="7" applyFont="1" applyAlignment="1">
      <alignment horizontal="left" vertical="center"/>
    </xf>
    <xf numFmtId="0" fontId="3" fillId="0" borderId="0" xfId="7" applyFont="1" applyAlignment="1">
      <alignment horizontal="center" vertical="center"/>
    </xf>
    <xf numFmtId="0" fontId="3" fillId="0" borderId="0" xfId="7" applyFont="1" applyAlignment="1">
      <alignment vertical="center"/>
    </xf>
    <xf numFmtId="0" fontId="3" fillId="0" borderId="0" xfId="7" applyFont="1" applyAlignment="1">
      <alignment vertical="center" wrapText="1"/>
    </xf>
    <xf numFmtId="0" fontId="3" fillId="0" borderId="0" xfId="7" applyFont="1"/>
    <xf numFmtId="0" fontId="4" fillId="0" borderId="0" xfId="7" applyFont="1"/>
    <xf numFmtId="0" fontId="5" fillId="0" borderId="0" xfId="7" applyFont="1" applyAlignment="1">
      <alignment vertical="center"/>
    </xf>
    <xf numFmtId="0" fontId="5" fillId="0" borderId="0" xfId="7" applyFont="1"/>
    <xf numFmtId="0" fontId="6" fillId="0" borderId="0" xfId="7" applyFont="1" applyAlignment="1">
      <alignment horizontal="center"/>
    </xf>
    <xf numFmtId="0" fontId="4" fillId="0" borderId="0" xfId="7" applyFont="1" applyAlignment="1">
      <alignment vertical="center" wrapText="1"/>
    </xf>
    <xf numFmtId="0" fontId="2" fillId="0" borderId="0" xfId="7" applyAlignment="1">
      <alignment wrapText="1"/>
    </xf>
    <xf numFmtId="0" fontId="2" fillId="0" borderId="0" xfId="0" applyFont="1"/>
    <xf numFmtId="0" fontId="9" fillId="0" borderId="0" xfId="0" applyFont="1"/>
    <xf numFmtId="0" fontId="2" fillId="0" borderId="0" xfId="9" applyAlignment="1">
      <alignment horizontal="center" vertical="center"/>
    </xf>
    <xf numFmtId="0" fontId="2" fillId="2" borderId="0" xfId="9" applyFill="1" applyAlignment="1">
      <alignment horizontal="center"/>
    </xf>
    <xf numFmtId="0" fontId="10" fillId="0" borderId="0" xfId="9" applyFont="1" applyAlignment="1">
      <alignment horizontal="center"/>
    </xf>
    <xf numFmtId="0" fontId="2" fillId="2" borderId="0" xfId="9" applyFill="1"/>
    <xf numFmtId="166" fontId="2" fillId="2" borderId="0" xfId="2" applyNumberFormat="1" applyFont="1" applyFill="1" applyBorder="1" applyAlignment="1" applyProtection="1"/>
    <xf numFmtId="0" fontId="2" fillId="0" borderId="0" xfId="9"/>
    <xf numFmtId="0" fontId="11" fillId="0" borderId="0" xfId="7" applyFont="1" applyAlignment="1">
      <alignment horizontal="center"/>
    </xf>
    <xf numFmtId="0" fontId="7" fillId="0" borderId="0" xfId="7" applyFont="1" applyAlignment="1">
      <alignment horizontal="center"/>
    </xf>
    <xf numFmtId="166" fontId="2" fillId="0" borderId="0" xfId="2" applyNumberFormat="1" applyFont="1" applyFill="1" applyBorder="1" applyAlignment="1" applyProtection="1"/>
    <xf numFmtId="0" fontId="4" fillId="0" borderId="0" xfId="7" applyFont="1" applyAlignment="1">
      <alignment horizontal="center" vertical="center"/>
    </xf>
    <xf numFmtId="0" fontId="12" fillId="0" borderId="0" xfId="7" applyFont="1" applyAlignment="1">
      <alignment horizontal="center"/>
    </xf>
    <xf numFmtId="9" fontId="4" fillId="0" borderId="0" xfId="7" applyNumberFormat="1" applyFont="1" applyAlignment="1">
      <alignment horizontal="center"/>
    </xf>
    <xf numFmtId="4" fontId="2" fillId="0" borderId="0" xfId="9" applyNumberFormat="1"/>
    <xf numFmtId="166" fontId="2" fillId="0" borderId="0" xfId="9" applyNumberFormat="1"/>
    <xf numFmtId="0" fontId="2" fillId="0" borderId="0" xfId="9" applyAlignment="1">
      <alignment horizontal="center"/>
    </xf>
    <xf numFmtId="0" fontId="13" fillId="2" borderId="0" xfId="9" applyFont="1" applyFill="1"/>
    <xf numFmtId="0" fontId="13" fillId="2" borderId="0" xfId="9" applyFont="1" applyFill="1" applyAlignment="1">
      <alignment horizontal="center"/>
    </xf>
    <xf numFmtId="0" fontId="0" fillId="0" borderId="0" xfId="0" applyAlignment="1">
      <alignment horizontal="center" vertical="center"/>
    </xf>
    <xf numFmtId="1" fontId="0" fillId="0" borderId="0" xfId="0" applyNumberFormat="1"/>
    <xf numFmtId="0" fontId="13" fillId="0" borderId="0" xfId="4" applyFont="1"/>
    <xf numFmtId="0" fontId="13" fillId="0" borderId="0" xfId="4" applyFont="1" applyAlignment="1">
      <alignment horizontal="center" vertical="center"/>
    </xf>
    <xf numFmtId="0" fontId="13" fillId="0" borderId="0" xfId="4" applyFont="1" applyAlignment="1">
      <alignment vertical="center" wrapText="1"/>
    </xf>
    <xf numFmtId="0" fontId="13" fillId="0" borderId="0" xfId="4" applyFont="1" applyAlignment="1">
      <alignment vertical="center"/>
    </xf>
    <xf numFmtId="0" fontId="5" fillId="0" borderId="0" xfId="4" applyFont="1"/>
    <xf numFmtId="0" fontId="6" fillId="0" borderId="0" xfId="0" applyFont="1"/>
    <xf numFmtId="164" fontId="2" fillId="0" borderId="0" xfId="9" applyNumberFormat="1"/>
    <xf numFmtId="0" fontId="20" fillId="0" borderId="0" xfId="9" applyFont="1"/>
    <xf numFmtId="0" fontId="5" fillId="0" borderId="0" xfId="0" applyFont="1" applyAlignment="1">
      <alignment horizontal="center"/>
    </xf>
    <xf numFmtId="0" fontId="5" fillId="0" borderId="0" xfId="0" applyFont="1"/>
    <xf numFmtId="0" fontId="4" fillId="0" borderId="0" xfId="7" applyFont="1" applyAlignment="1">
      <alignment horizontal="left" vertical="center"/>
    </xf>
    <xf numFmtId="0" fontId="5" fillId="0" borderId="0" xfId="7" applyFont="1" applyAlignment="1">
      <alignment horizontal="center" vertical="center"/>
    </xf>
    <xf numFmtId="0" fontId="5" fillId="0" borderId="0" xfId="7" applyFont="1" applyAlignment="1">
      <alignment vertical="center" wrapText="1"/>
    </xf>
    <xf numFmtId="10" fontId="1" fillId="0" borderId="0" xfId="11" applyNumberFormat="1" applyFill="1" applyBorder="1"/>
    <xf numFmtId="169" fontId="2" fillId="0" borderId="0" xfId="9" applyNumberFormat="1"/>
    <xf numFmtId="0" fontId="0" fillId="0" borderId="0" xfId="0" applyAlignment="1">
      <alignment vertical="justify"/>
    </xf>
    <xf numFmtId="0" fontId="0" fillId="4" borderId="0" xfId="0" applyFill="1" applyAlignment="1">
      <alignment vertical="justify"/>
    </xf>
    <xf numFmtId="0" fontId="21" fillId="0" borderId="0" xfId="7" applyFont="1" applyAlignment="1">
      <alignment horizontal="center" vertical="center" wrapText="1"/>
    </xf>
    <xf numFmtId="0" fontId="22" fillId="0" borderId="0" xfId="9" applyFont="1"/>
    <xf numFmtId="3" fontId="22" fillId="0" borderId="0" xfId="9" applyNumberFormat="1" applyFont="1"/>
    <xf numFmtId="3" fontId="2" fillId="0" borderId="0" xfId="9" applyNumberFormat="1"/>
    <xf numFmtId="167" fontId="1" fillId="0" borderId="0" xfId="11" applyNumberFormat="1" applyFill="1" applyBorder="1"/>
    <xf numFmtId="0" fontId="23" fillId="0" borderId="0" xfId="7" applyFont="1"/>
    <xf numFmtId="0" fontId="24" fillId="0" borderId="0" xfId="7" applyFont="1" applyAlignment="1">
      <alignment horizontal="left" vertical="center" wrapText="1"/>
    </xf>
    <xf numFmtId="0" fontId="24" fillId="0" borderId="0" xfId="7" applyFont="1" applyAlignment="1">
      <alignment horizontal="center" vertical="center" wrapText="1"/>
    </xf>
    <xf numFmtId="0" fontId="24" fillId="0" borderId="0" xfId="7" applyFont="1" applyAlignment="1">
      <alignment vertical="center" wrapText="1"/>
    </xf>
    <xf numFmtId="0" fontId="25" fillId="0" borderId="0" xfId="7" applyFont="1" applyAlignment="1">
      <alignment horizontal="center" wrapText="1"/>
    </xf>
    <xf numFmtId="166" fontId="25" fillId="0" borderId="0" xfId="2" applyNumberFormat="1" applyFont="1" applyFill="1" applyBorder="1" applyAlignment="1" applyProtection="1">
      <alignment vertical="center"/>
    </xf>
    <xf numFmtId="166" fontId="25" fillId="0" borderId="0" xfId="2" applyNumberFormat="1" applyFont="1" applyFill="1" applyBorder="1" applyAlignment="1" applyProtection="1">
      <alignment horizontal="right" vertical="center" wrapText="1"/>
    </xf>
    <xf numFmtId="166" fontId="25" fillId="0" borderId="0" xfId="2" applyNumberFormat="1" applyFont="1" applyFill="1" applyBorder="1" applyAlignment="1" applyProtection="1">
      <alignment horizontal="right" vertical="center"/>
    </xf>
    <xf numFmtId="0" fontId="25" fillId="0" borderId="0" xfId="7" applyFont="1" applyAlignment="1">
      <alignment horizontal="center" vertical="center"/>
    </xf>
    <xf numFmtId="0" fontId="25" fillId="0" borderId="0" xfId="7" applyFont="1" applyAlignment="1">
      <alignment vertical="center"/>
    </xf>
    <xf numFmtId="0" fontId="25" fillId="0" borderId="0" xfId="7" applyFont="1" applyAlignment="1">
      <alignment vertical="center" wrapText="1"/>
    </xf>
    <xf numFmtId="0" fontId="25" fillId="0" borderId="0" xfId="7" applyFont="1" applyAlignment="1">
      <alignment horizontal="center"/>
    </xf>
    <xf numFmtId="0" fontId="25" fillId="0" borderId="0" xfId="7" applyFont="1"/>
    <xf numFmtId="0" fontId="24" fillId="0" borderId="0" xfId="7" applyFont="1" applyAlignment="1">
      <alignment vertical="center"/>
    </xf>
    <xf numFmtId="0" fontId="24" fillId="0" borderId="0" xfId="7" applyFont="1"/>
    <xf numFmtId="0" fontId="23" fillId="0" borderId="1" xfId="7" applyFont="1" applyBorder="1" applyAlignment="1">
      <alignment horizontal="center" vertical="center" wrapText="1"/>
    </xf>
    <xf numFmtId="0" fontId="23" fillId="0" borderId="1" xfId="7" applyFont="1" applyBorder="1" applyAlignment="1">
      <alignment horizontal="center" wrapText="1"/>
    </xf>
    <xf numFmtId="0" fontId="26" fillId="0" borderId="1" xfId="7" applyFont="1" applyBorder="1" applyAlignment="1">
      <alignment horizontal="center" vertical="center" wrapText="1"/>
    </xf>
    <xf numFmtId="3" fontId="26" fillId="0" borderId="1" xfId="2" applyNumberFormat="1" applyFont="1" applyFill="1" applyBorder="1" applyAlignment="1" applyProtection="1">
      <alignment horizontal="right" vertical="center"/>
    </xf>
    <xf numFmtId="0" fontId="26" fillId="0" borderId="1" xfId="0" applyFont="1" applyBorder="1" applyAlignment="1">
      <alignment vertical="top" wrapText="1"/>
    </xf>
    <xf numFmtId="0" fontId="26" fillId="0" borderId="1" xfId="7" applyFont="1" applyBorder="1" applyAlignment="1">
      <alignment horizontal="left" vertical="center" wrapText="1"/>
    </xf>
    <xf numFmtId="0" fontId="23" fillId="0" borderId="0" xfId="7" applyFont="1" applyAlignment="1">
      <alignment vertical="center"/>
    </xf>
    <xf numFmtId="0" fontId="26" fillId="0" borderId="0" xfId="7" applyFont="1" applyAlignment="1">
      <alignment horizontal="center"/>
    </xf>
    <xf numFmtId="0" fontId="23" fillId="0" borderId="0" xfId="9" applyFont="1" applyAlignment="1">
      <alignment horizontal="center" vertical="center"/>
    </xf>
    <xf numFmtId="0" fontId="19" fillId="0" borderId="0" xfId="9" applyFont="1"/>
    <xf numFmtId="0" fontId="23" fillId="0" borderId="0" xfId="9" applyFont="1"/>
    <xf numFmtId="166" fontId="23" fillId="0" borderId="0" xfId="2" applyNumberFormat="1" applyFont="1" applyFill="1" applyBorder="1" applyAlignment="1" applyProtection="1"/>
    <xf numFmtId="0" fontId="26" fillId="0" borderId="6" xfId="9" applyFont="1" applyBorder="1" applyAlignment="1">
      <alignment horizontal="center" vertical="center"/>
    </xf>
    <xf numFmtId="0" fontId="23" fillId="0" borderId="2" xfId="9" applyFont="1" applyBorder="1" applyAlignment="1">
      <alignment horizontal="center" vertical="center"/>
    </xf>
    <xf numFmtId="0" fontId="23" fillId="0" borderId="0" xfId="9" applyFont="1" applyAlignment="1">
      <alignment horizontal="center"/>
    </xf>
    <xf numFmtId="0" fontId="27" fillId="0" borderId="0" xfId="9" applyFont="1" applyAlignment="1">
      <alignment horizontal="center"/>
    </xf>
    <xf numFmtId="0" fontId="26" fillId="0" borderId="0" xfId="9" applyFont="1"/>
    <xf numFmtId="166" fontId="23" fillId="0" borderId="2" xfId="2" applyNumberFormat="1" applyFont="1" applyFill="1" applyBorder="1" applyAlignment="1" applyProtection="1">
      <alignment horizontal="center" vertical="center" wrapText="1"/>
    </xf>
    <xf numFmtId="0" fontId="26" fillId="0" borderId="2" xfId="9" applyFont="1" applyBorder="1" applyAlignment="1">
      <alignment horizontal="center" vertical="center"/>
    </xf>
    <xf numFmtId="0" fontId="23" fillId="0" borderId="3" xfId="9" applyFont="1" applyBorder="1" applyAlignment="1">
      <alignment horizontal="center" vertical="center"/>
    </xf>
    <xf numFmtId="0" fontId="23" fillId="0" borderId="4" xfId="9" applyFont="1" applyBorder="1" applyAlignment="1">
      <alignment horizontal="center" vertical="center"/>
    </xf>
    <xf numFmtId="0" fontId="26" fillId="0" borderId="2" xfId="9" applyFont="1" applyBorder="1" applyAlignment="1">
      <alignment horizontal="center"/>
    </xf>
    <xf numFmtId="166" fontId="26" fillId="0" borderId="2" xfId="2" applyNumberFormat="1" applyFont="1" applyFill="1" applyBorder="1" applyAlignment="1" applyProtection="1">
      <alignment horizontal="center" vertical="center"/>
    </xf>
    <xf numFmtId="3" fontId="26" fillId="0" borderId="2" xfId="2" applyNumberFormat="1" applyFont="1" applyFill="1" applyBorder="1" applyAlignment="1" applyProtection="1">
      <alignment horizontal="right" vertical="center"/>
    </xf>
    <xf numFmtId="3" fontId="26" fillId="0" borderId="2" xfId="9" applyNumberFormat="1" applyFont="1" applyBorder="1" applyAlignment="1">
      <alignment horizontal="right" vertical="center"/>
    </xf>
    <xf numFmtId="170" fontId="26" fillId="0" borderId="2" xfId="2" applyNumberFormat="1" applyFont="1" applyFill="1" applyBorder="1" applyAlignment="1" applyProtection="1">
      <alignment horizontal="right" vertical="center"/>
    </xf>
    <xf numFmtId="0" fontId="26" fillId="0" borderId="0" xfId="9" applyFont="1" applyAlignment="1">
      <alignment horizontal="center" vertical="center"/>
    </xf>
    <xf numFmtId="0" fontId="26" fillId="0" borderId="4" xfId="9" applyFont="1" applyBorder="1" applyAlignment="1">
      <alignment horizontal="center" vertical="center" wrapText="1"/>
    </xf>
    <xf numFmtId="3" fontId="26" fillId="0" borderId="11" xfId="2" applyNumberFormat="1" applyFont="1" applyFill="1" applyBorder="1" applyAlignment="1" applyProtection="1">
      <alignment horizontal="right" vertical="center"/>
    </xf>
    <xf numFmtId="0" fontId="26" fillId="0" borderId="2" xfId="9" applyFont="1" applyBorder="1" applyAlignment="1">
      <alignment horizontal="center" vertical="center" wrapText="1"/>
    </xf>
    <xf numFmtId="166" fontId="26" fillId="0" borderId="0" xfId="2" applyNumberFormat="1" applyFont="1" applyFill="1" applyBorder="1" applyAlignment="1" applyProtection="1"/>
    <xf numFmtId="170" fontId="26" fillId="0" borderId="2" xfId="9" applyNumberFormat="1" applyFont="1" applyBorder="1" applyAlignment="1">
      <alignment horizontal="right" vertical="center"/>
    </xf>
    <xf numFmtId="0" fontId="26" fillId="0" borderId="5" xfId="9" applyFont="1" applyBorder="1" applyAlignment="1">
      <alignment horizontal="center" vertical="center"/>
    </xf>
    <xf numFmtId="0" fontId="26" fillId="0" borderId="9" xfId="9" applyFont="1" applyBorder="1" applyAlignment="1">
      <alignment horizontal="center" vertical="center"/>
    </xf>
    <xf numFmtId="0" fontId="26" fillId="0" borderId="11" xfId="9" applyFont="1" applyBorder="1" applyAlignment="1">
      <alignment horizontal="center" vertical="center"/>
    </xf>
    <xf numFmtId="0" fontId="26" fillId="0" borderId="12" xfId="9" applyFont="1" applyBorder="1" applyAlignment="1">
      <alignment horizontal="center" vertical="center"/>
    </xf>
    <xf numFmtId="0" fontId="26" fillId="0" borderId="1" xfId="9" applyFont="1" applyBorder="1" applyAlignment="1">
      <alignment horizontal="center" vertical="center"/>
    </xf>
    <xf numFmtId="0" fontId="23" fillId="0" borderId="0" xfId="7" applyFont="1" applyAlignment="1">
      <alignment horizontal="left" vertical="center" wrapText="1"/>
    </xf>
    <xf numFmtId="166" fontId="26" fillId="0" borderId="0" xfId="2" applyNumberFormat="1" applyFont="1" applyFill="1" applyBorder="1" applyAlignment="1" applyProtection="1">
      <alignment horizontal="center" vertical="center"/>
    </xf>
    <xf numFmtId="165" fontId="26" fillId="0" borderId="0" xfId="2" applyFont="1" applyFill="1" applyBorder="1" applyAlignment="1" applyProtection="1">
      <alignment horizontal="center" vertical="center"/>
    </xf>
    <xf numFmtId="0" fontId="26" fillId="0" borderId="0" xfId="7" applyFont="1"/>
    <xf numFmtId="0" fontId="26" fillId="2" borderId="0" xfId="7" applyFont="1" applyFill="1"/>
    <xf numFmtId="167" fontId="22" fillId="0" borderId="0" xfId="11" applyNumberFormat="1" applyFont="1" applyFill="1" applyBorder="1"/>
    <xf numFmtId="0" fontId="23" fillId="0" borderId="2" xfId="0" applyFont="1" applyBorder="1" applyAlignment="1">
      <alignment horizontal="center" vertical="center"/>
    </xf>
    <xf numFmtId="0" fontId="26" fillId="0" borderId="2" xfId="0" applyFont="1" applyBorder="1" applyAlignment="1">
      <alignment horizontal="center" vertical="center"/>
    </xf>
    <xf numFmtId="0" fontId="26" fillId="0" borderId="2" xfId="0" applyFont="1" applyBorder="1" applyAlignment="1">
      <alignment horizontal="center"/>
    </xf>
    <xf numFmtId="1" fontId="26" fillId="0" borderId="2" xfId="0" applyNumberFormat="1" applyFont="1" applyBorder="1" applyAlignment="1">
      <alignment horizontal="center" vertical="center"/>
    </xf>
    <xf numFmtId="0" fontId="26" fillId="0" borderId="2" xfId="0" applyFont="1" applyBorder="1" applyAlignment="1">
      <alignment horizontal="left" vertical="center"/>
    </xf>
    <xf numFmtId="0" fontId="28" fillId="2" borderId="2" xfId="0" applyFont="1" applyFill="1" applyBorder="1" applyAlignment="1">
      <alignment horizontal="left" vertical="center" wrapText="1"/>
    </xf>
    <xf numFmtId="49" fontId="26" fillId="0" borderId="2" xfId="0" applyNumberFormat="1" applyFont="1" applyBorder="1" applyAlignment="1">
      <alignment horizontal="center" vertical="center"/>
    </xf>
    <xf numFmtId="49" fontId="28" fillId="0" borderId="2" xfId="0" applyNumberFormat="1" applyFont="1" applyBorder="1" applyAlignment="1">
      <alignment horizontal="left" vertical="center" wrapText="1"/>
    </xf>
    <xf numFmtId="0" fontId="23" fillId="0" borderId="0" xfId="7" applyFont="1" applyAlignment="1">
      <alignment horizontal="left" vertical="center"/>
    </xf>
    <xf numFmtId="0" fontId="23" fillId="0" borderId="0" xfId="7" applyFont="1" applyAlignment="1">
      <alignment vertical="center" wrapText="1"/>
    </xf>
    <xf numFmtId="1" fontId="26" fillId="0" borderId="0" xfId="0" applyNumberFormat="1" applyFont="1"/>
    <xf numFmtId="0" fontId="23" fillId="0" borderId="0" xfId="0" applyFont="1" applyAlignment="1">
      <alignment horizontal="right"/>
    </xf>
    <xf numFmtId="0" fontId="23" fillId="0" borderId="0" xfId="7" applyFont="1" applyAlignment="1">
      <alignment horizontal="center"/>
    </xf>
    <xf numFmtId="0" fontId="26" fillId="0" borderId="0" xfId="0" applyFont="1"/>
    <xf numFmtId="0" fontId="26" fillId="0" borderId="0" xfId="0" applyFont="1" applyAlignment="1">
      <alignment horizontal="center" vertical="center"/>
    </xf>
    <xf numFmtId="1" fontId="23" fillId="0" borderId="0" xfId="0" applyNumberFormat="1" applyFont="1" applyAlignment="1">
      <alignment horizontal="right"/>
    </xf>
    <xf numFmtId="0" fontId="23" fillId="0" borderId="0" xfId="7" applyFont="1" applyAlignment="1">
      <alignment horizontal="center" vertical="center"/>
    </xf>
    <xf numFmtId="0" fontId="26" fillId="0" borderId="0" xfId="4" applyFont="1"/>
    <xf numFmtId="0" fontId="23" fillId="0" borderId="0" xfId="4" applyFont="1"/>
    <xf numFmtId="0" fontId="26" fillId="0" borderId="0" xfId="4" applyFont="1" applyAlignment="1">
      <alignment horizontal="center" vertical="center"/>
    </xf>
    <xf numFmtId="0" fontId="26" fillId="0" borderId="0" xfId="4" applyFont="1" applyAlignment="1">
      <alignment vertical="center" wrapText="1"/>
    </xf>
    <xf numFmtId="0" fontId="26" fillId="0" borderId="0" xfId="4" applyFont="1" applyAlignment="1">
      <alignment vertical="center"/>
    </xf>
    <xf numFmtId="0" fontId="23" fillId="0" borderId="0" xfId="4" applyFont="1" applyAlignment="1">
      <alignment horizontal="right"/>
    </xf>
    <xf numFmtId="0" fontId="23" fillId="0" borderId="15" xfId="4" applyFont="1" applyBorder="1" applyAlignment="1">
      <alignment horizontal="center" vertical="center"/>
    </xf>
    <xf numFmtId="0" fontId="23" fillId="0" borderId="16" xfId="4" applyFont="1" applyBorder="1" applyAlignment="1">
      <alignment horizontal="center" vertical="center"/>
    </xf>
    <xf numFmtId="0" fontId="23" fillId="0" borderId="19" xfId="4" applyFont="1" applyBorder="1" applyAlignment="1">
      <alignment horizontal="center" vertical="center" wrapText="1"/>
    </xf>
    <xf numFmtId="0" fontId="26" fillId="0" borderId="20" xfId="4" applyFont="1" applyBorder="1" applyAlignment="1">
      <alignment horizontal="center" vertical="center" wrapText="1"/>
    </xf>
    <xf numFmtId="0" fontId="23" fillId="0" borderId="21" xfId="4" applyFont="1" applyBorder="1" applyAlignment="1">
      <alignment vertical="center" wrapText="1"/>
    </xf>
    <xf numFmtId="0" fontId="23" fillId="0" borderId="23" xfId="4" applyFont="1" applyBorder="1" applyAlignment="1">
      <alignment vertical="center" wrapText="1"/>
    </xf>
    <xf numFmtId="0" fontId="23" fillId="0" borderId="8" xfId="4" applyFont="1" applyBorder="1" applyAlignment="1">
      <alignment horizontal="center" vertical="center"/>
    </xf>
    <xf numFmtId="0" fontId="26" fillId="0" borderId="8" xfId="4" applyFont="1" applyBorder="1" applyAlignment="1">
      <alignment horizontal="center" vertical="center"/>
    </xf>
    <xf numFmtId="0" fontId="23" fillId="0" borderId="25" xfId="4" applyFont="1" applyBorder="1" applyAlignment="1">
      <alignment horizontal="center" vertical="center" wrapText="1"/>
    </xf>
    <xf numFmtId="0" fontId="23" fillId="0" borderId="8" xfId="4" applyFont="1" applyBorder="1" applyAlignment="1">
      <alignment horizontal="center" vertical="center" wrapText="1"/>
    </xf>
    <xf numFmtId="0" fontId="26" fillId="0" borderId="26" xfId="4" applyFont="1" applyBorder="1" applyAlignment="1">
      <alignment horizontal="center" vertical="center"/>
    </xf>
    <xf numFmtId="0" fontId="23" fillId="0" borderId="27" xfId="4" applyFont="1" applyBorder="1" applyAlignment="1">
      <alignment vertical="center" wrapText="1"/>
    </xf>
    <xf numFmtId="0" fontId="26" fillId="0" borderId="28" xfId="4" applyFont="1" applyBorder="1" applyAlignment="1">
      <alignment horizontal="center" vertical="center"/>
    </xf>
    <xf numFmtId="0" fontId="23" fillId="0" borderId="0" xfId="8" applyFont="1" applyAlignment="1">
      <alignment vertical="center"/>
    </xf>
    <xf numFmtId="0" fontId="23" fillId="0" borderId="0" xfId="8" applyFont="1" applyAlignment="1">
      <alignment horizontal="left" vertical="center"/>
    </xf>
    <xf numFmtId="0" fontId="23" fillId="0" borderId="0" xfId="8" applyFont="1" applyAlignment="1">
      <alignment horizontal="center"/>
    </xf>
    <xf numFmtId="0" fontId="23" fillId="0" borderId="0" xfId="8" applyFont="1" applyAlignment="1">
      <alignment horizontal="center" vertical="center"/>
    </xf>
    <xf numFmtId="0" fontId="26" fillId="0" borderId="1" xfId="0" applyFont="1" applyBorder="1" applyAlignment="1">
      <alignment horizontal="center" vertical="center"/>
    </xf>
    <xf numFmtId="0" fontId="26" fillId="0" borderId="1" xfId="0" applyFont="1" applyBorder="1" applyAlignment="1">
      <alignment vertical="center"/>
    </xf>
    <xf numFmtId="0" fontId="26" fillId="0" borderId="0" xfId="0" applyFont="1" applyAlignment="1">
      <alignment vertical="center"/>
    </xf>
    <xf numFmtId="0" fontId="23" fillId="0" borderId="0" xfId="0" applyFont="1" applyAlignment="1">
      <alignment vertical="center"/>
    </xf>
    <xf numFmtId="0" fontId="26" fillId="0" borderId="1" xfId="0" applyFont="1" applyBorder="1" applyAlignment="1">
      <alignment horizontal="center" vertical="center" wrapText="1"/>
    </xf>
    <xf numFmtId="0" fontId="23" fillId="0" borderId="0" xfId="0" applyFont="1" applyAlignment="1">
      <alignment horizontal="left" vertical="center"/>
    </xf>
    <xf numFmtId="0" fontId="23" fillId="0" borderId="0" xfId="0" applyFont="1"/>
    <xf numFmtId="0" fontId="29" fillId="0" borderId="0" xfId="0" applyFont="1" applyAlignment="1">
      <alignment horizontal="center" vertical="center"/>
    </xf>
    <xf numFmtId="49" fontId="29" fillId="0" borderId="0" xfId="0" applyNumberFormat="1" applyFont="1" applyAlignment="1">
      <alignment horizontal="center" vertical="center"/>
    </xf>
    <xf numFmtId="0" fontId="30" fillId="4" borderId="0" xfId="0" applyFont="1" applyFill="1" applyAlignment="1">
      <alignment horizontal="center" vertical="center"/>
    </xf>
    <xf numFmtId="0" fontId="23" fillId="0" borderId="0" xfId="0" applyFont="1" applyAlignment="1">
      <alignment horizontal="center" vertical="center"/>
    </xf>
    <xf numFmtId="0" fontId="30" fillId="0" borderId="0" xfId="0" applyFont="1" applyAlignment="1">
      <alignment horizontal="center" vertical="center"/>
    </xf>
    <xf numFmtId="0" fontId="23" fillId="4" borderId="0" xfId="0" applyFont="1" applyFill="1" applyAlignment="1">
      <alignment horizontal="center" vertical="center"/>
    </xf>
    <xf numFmtId="0" fontId="31" fillId="0" borderId="0" xfId="9" applyFont="1" applyAlignment="1">
      <alignment vertical="center" wrapText="1"/>
    </xf>
    <xf numFmtId="2" fontId="20" fillId="0" borderId="0" xfId="9" applyNumberFormat="1" applyFont="1" applyAlignment="1">
      <alignment vertical="center"/>
    </xf>
    <xf numFmtId="3" fontId="31" fillId="0" borderId="0" xfId="2" applyNumberFormat="1" applyFont="1" applyFill="1" applyBorder="1" applyAlignment="1" applyProtection="1">
      <alignment horizontal="center" vertical="center" wrapText="1"/>
    </xf>
    <xf numFmtId="4" fontId="26" fillId="0" borderId="2" xfId="9" applyNumberFormat="1" applyFont="1" applyBorder="1" applyAlignment="1">
      <alignment horizontal="right" vertical="center"/>
    </xf>
    <xf numFmtId="0" fontId="23" fillId="0" borderId="1" xfId="0" applyFont="1" applyBorder="1" applyAlignment="1">
      <alignment horizontal="center" vertical="center" wrapText="1"/>
    </xf>
    <xf numFmtId="0" fontId="23" fillId="0" borderId="1" xfId="0" applyFont="1" applyBorder="1" applyAlignment="1">
      <alignment horizontal="right" vertical="center"/>
    </xf>
    <xf numFmtId="0" fontId="26" fillId="0" borderId="1" xfId="0" applyFont="1" applyBorder="1" applyAlignment="1">
      <alignment horizontal="right" vertical="center"/>
    </xf>
    <xf numFmtId="49" fontId="2" fillId="0" borderId="0" xfId="9" applyNumberFormat="1"/>
    <xf numFmtId="3" fontId="26" fillId="0" borderId="1" xfId="2" applyNumberFormat="1" applyFont="1" applyFill="1" applyBorder="1" applyAlignment="1" applyProtection="1">
      <alignment horizontal="right" vertical="center" wrapText="1"/>
    </xf>
    <xf numFmtId="4" fontId="26" fillId="0" borderId="1" xfId="2" applyNumberFormat="1" applyFont="1" applyFill="1" applyBorder="1" applyAlignment="1" applyProtection="1">
      <alignment horizontal="right" vertical="center" wrapText="1"/>
    </xf>
    <xf numFmtId="0" fontId="23" fillId="0" borderId="1" xfId="9" applyFont="1" applyBorder="1" applyAlignment="1">
      <alignment horizontal="center" vertical="center"/>
    </xf>
    <xf numFmtId="0" fontId="23" fillId="0" borderId="1" xfId="7" applyFont="1" applyBorder="1" applyAlignment="1">
      <alignment horizontal="center"/>
    </xf>
    <xf numFmtId="170" fontId="26" fillId="0" borderId="1" xfId="2" applyNumberFormat="1" applyFont="1" applyFill="1" applyBorder="1" applyAlignment="1" applyProtection="1">
      <alignment horizontal="right" vertical="center"/>
    </xf>
    <xf numFmtId="166" fontId="26" fillId="0" borderId="1" xfId="2" applyNumberFormat="1" applyFont="1" applyFill="1" applyBorder="1" applyAlignment="1" applyProtection="1">
      <alignment horizontal="right" vertical="center" wrapText="1"/>
    </xf>
    <xf numFmtId="4" fontId="22" fillId="0" borderId="0" xfId="9" applyNumberFormat="1" applyFont="1"/>
    <xf numFmtId="10" fontId="20" fillId="0" borderId="0" xfId="9" applyNumberFormat="1" applyFont="1" applyAlignment="1">
      <alignment vertical="center"/>
    </xf>
    <xf numFmtId="0" fontId="32" fillId="0" borderId="2" xfId="9" applyFont="1" applyBorder="1" applyAlignment="1">
      <alignment horizontal="center" vertical="center" wrapText="1"/>
    </xf>
    <xf numFmtId="3" fontId="26" fillId="0" borderId="6" xfId="2" applyNumberFormat="1" applyFont="1" applyFill="1" applyBorder="1" applyAlignment="1" applyProtection="1">
      <alignment horizontal="right" vertical="center"/>
    </xf>
    <xf numFmtId="3" fontId="26" fillId="0" borderId="7" xfId="10" applyNumberFormat="1" applyFont="1" applyBorder="1" applyAlignment="1">
      <alignment horizontal="right"/>
    </xf>
    <xf numFmtId="3" fontId="26" fillId="0" borderId="9" xfId="2" applyNumberFormat="1" applyFont="1" applyFill="1" applyBorder="1" applyAlignment="1" applyProtection="1">
      <alignment horizontal="right" vertical="center"/>
    </xf>
    <xf numFmtId="3" fontId="26" fillId="0" borderId="10" xfId="2" applyNumberFormat="1" applyFont="1" applyFill="1" applyBorder="1" applyAlignment="1" applyProtection="1">
      <alignment horizontal="right" vertical="center"/>
    </xf>
    <xf numFmtId="3" fontId="26" fillId="0" borderId="2" xfId="2" applyNumberFormat="1" applyFont="1" applyFill="1" applyBorder="1" applyAlignment="1" applyProtection="1">
      <alignment horizontal="right" vertical="center" wrapText="1"/>
    </xf>
    <xf numFmtId="3" fontId="26" fillId="0" borderId="2" xfId="0" applyNumberFormat="1" applyFont="1" applyBorder="1" applyAlignment="1">
      <alignment horizontal="right" vertical="center"/>
    </xf>
    <xf numFmtId="3" fontId="26" fillId="0" borderId="0" xfId="0" applyNumberFormat="1" applyFont="1" applyAlignment="1">
      <alignment horizontal="right" vertical="center"/>
    </xf>
    <xf numFmtId="4" fontId="26" fillId="0" borderId="2" xfId="2" applyNumberFormat="1" applyFont="1" applyFill="1" applyBorder="1" applyAlignment="1" applyProtection="1">
      <alignment horizontal="right" vertical="center"/>
    </xf>
    <xf numFmtId="0" fontId="26" fillId="0" borderId="8" xfId="9" applyFont="1" applyBorder="1" applyAlignment="1">
      <alignment horizontal="center" vertical="center"/>
    </xf>
    <xf numFmtId="0" fontId="26" fillId="0" borderId="9" xfId="7" applyFont="1" applyBorder="1" applyAlignment="1">
      <alignment horizontal="center" vertical="center" wrapText="1"/>
    </xf>
    <xf numFmtId="0" fontId="26" fillId="0" borderId="2" xfId="7" applyFont="1" applyBorder="1" applyAlignment="1">
      <alignment horizontal="center" vertical="center" wrapText="1"/>
    </xf>
    <xf numFmtId="0" fontId="26" fillId="0" borderId="9" xfId="9" applyFont="1" applyBorder="1" applyAlignment="1">
      <alignment horizontal="center" vertical="center" wrapText="1"/>
    </xf>
    <xf numFmtId="0" fontId="26" fillId="0" borderId="5" xfId="9" applyFont="1" applyBorder="1" applyAlignment="1">
      <alignment horizontal="center" vertical="center" wrapText="1"/>
    </xf>
    <xf numFmtId="0" fontId="26" fillId="0" borderId="0" xfId="7" applyFont="1" applyAlignment="1">
      <alignment horizontal="left" vertical="center" wrapText="1"/>
    </xf>
    <xf numFmtId="0" fontId="26" fillId="0" borderId="0" xfId="7" applyFont="1" applyAlignment="1">
      <alignment horizontal="center" vertical="center" wrapText="1"/>
    </xf>
    <xf numFmtId="0" fontId="26" fillId="0" borderId="0" xfId="7" applyFont="1" applyAlignment="1">
      <alignment vertical="center"/>
    </xf>
    <xf numFmtId="0" fontId="26" fillId="2" borderId="0" xfId="7" applyFont="1" applyFill="1" applyAlignment="1">
      <alignment horizontal="center" vertical="center"/>
    </xf>
    <xf numFmtId="167" fontId="1" fillId="0" borderId="0" xfId="11" applyNumberFormat="1"/>
    <xf numFmtId="169" fontId="1" fillId="0" borderId="0" xfId="9" applyNumberFormat="1" applyFont="1"/>
    <xf numFmtId="170" fontId="26" fillId="0" borderId="2" xfId="11" applyNumberFormat="1" applyFont="1" applyFill="1" applyBorder="1" applyAlignment="1" applyProtection="1">
      <alignment horizontal="right" vertical="center"/>
    </xf>
    <xf numFmtId="3" fontId="26" fillId="0" borderId="2" xfId="11" applyNumberFormat="1" applyFont="1" applyFill="1" applyBorder="1" applyAlignment="1" applyProtection="1">
      <alignment horizontal="right" vertical="center"/>
    </xf>
    <xf numFmtId="10" fontId="1" fillId="0" borderId="0" xfId="11" applyNumberFormat="1" applyFill="1" applyAlignment="1">
      <alignment vertical="center"/>
    </xf>
    <xf numFmtId="170" fontId="26" fillId="0" borderId="1" xfId="2" applyNumberFormat="1" applyFont="1" applyFill="1" applyBorder="1" applyAlignment="1" applyProtection="1">
      <alignment horizontal="right" vertical="center" wrapText="1"/>
    </xf>
    <xf numFmtId="170" fontId="26" fillId="0" borderId="2" xfId="0" applyNumberFormat="1" applyFont="1" applyBorder="1" applyAlignment="1">
      <alignment horizontal="right" vertical="center"/>
    </xf>
    <xf numFmtId="169" fontId="26" fillId="0" borderId="2" xfId="0" applyNumberFormat="1" applyFont="1" applyBorder="1" applyAlignment="1">
      <alignment horizontal="right" vertical="center"/>
    </xf>
    <xf numFmtId="2" fontId="26" fillId="0" borderId="1" xfId="0" applyNumberFormat="1" applyFont="1" applyBorder="1" applyAlignment="1">
      <alignment horizontal="center" vertical="center" wrapText="1"/>
    </xf>
    <xf numFmtId="49" fontId="26" fillId="0" borderId="1" xfId="0" applyNumberFormat="1" applyFont="1" applyBorder="1" applyAlignment="1">
      <alignment horizontal="right" vertical="center"/>
    </xf>
    <xf numFmtId="0" fontId="23" fillId="0" borderId="1" xfId="0" applyFont="1" applyBorder="1" applyAlignment="1">
      <alignment vertical="center"/>
    </xf>
    <xf numFmtId="49" fontId="23" fillId="0" borderId="1" xfId="0" applyNumberFormat="1" applyFont="1" applyBorder="1" applyAlignment="1">
      <alignment horizontal="right" vertical="center"/>
    </xf>
    <xf numFmtId="0" fontId="39" fillId="0" borderId="0" xfId="4" applyFont="1" applyAlignment="1">
      <alignment vertical="center"/>
    </xf>
    <xf numFmtId="0" fontId="39" fillId="0" borderId="0" xfId="4" applyFont="1"/>
    <xf numFmtId="0" fontId="26" fillId="0" borderId="1" xfId="0" applyFont="1" applyBorder="1" applyAlignment="1">
      <alignment horizontal="left" vertical="center" wrapText="1"/>
    </xf>
    <xf numFmtId="166" fontId="26" fillId="0" borderId="1" xfId="2" applyNumberFormat="1" applyFont="1" applyFill="1" applyBorder="1" applyAlignment="1">
      <alignment horizontal="right" vertical="center" wrapText="1"/>
    </xf>
    <xf numFmtId="168" fontId="26" fillId="0" borderId="1" xfId="2" applyNumberFormat="1" applyFont="1" applyFill="1" applyBorder="1" applyAlignment="1">
      <alignment horizontal="right" vertical="center" wrapText="1"/>
    </xf>
    <xf numFmtId="0" fontId="26"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center" vertical="center" wrapText="1"/>
    </xf>
    <xf numFmtId="168" fontId="26" fillId="0" borderId="0" xfId="2" applyNumberFormat="1" applyFont="1" applyFill="1" applyBorder="1" applyAlignment="1">
      <alignment horizontal="right" vertical="center" wrapText="1"/>
    </xf>
    <xf numFmtId="0" fontId="26" fillId="0" borderId="0" xfId="0" applyFont="1" applyAlignment="1">
      <alignment vertical="center" wrapText="1"/>
    </xf>
    <xf numFmtId="0" fontId="28" fillId="0" borderId="0" xfId="0" applyFont="1" applyAlignment="1">
      <alignment horizontal="center" vertical="center"/>
    </xf>
    <xf numFmtId="3" fontId="28" fillId="0" borderId="0" xfId="0" applyNumberFormat="1" applyFont="1" applyAlignment="1">
      <alignment horizontal="right" vertical="center"/>
    </xf>
    <xf numFmtId="3" fontId="30" fillId="0" borderId="0" xfId="0" applyNumberFormat="1" applyFont="1" applyAlignment="1">
      <alignment horizontal="right" vertical="center"/>
    </xf>
    <xf numFmtId="0" fontId="1" fillId="0" borderId="0" xfId="0" applyFont="1"/>
    <xf numFmtId="0" fontId="30" fillId="0" borderId="1" xfId="0" applyFont="1" applyBorder="1" applyAlignment="1">
      <alignment horizontal="center" vertical="center" wrapText="1"/>
    </xf>
    <xf numFmtId="0" fontId="30" fillId="4" borderId="1" xfId="0" applyFont="1" applyFill="1" applyBorder="1" applyAlignment="1">
      <alignment horizontal="center" vertical="center" wrapText="1"/>
    </xf>
    <xf numFmtId="3" fontId="30" fillId="4" borderId="1" xfId="0" applyNumberFormat="1" applyFont="1" applyFill="1" applyBorder="1" applyAlignment="1">
      <alignment horizontal="right" vertical="center" wrapText="1"/>
    </xf>
    <xf numFmtId="3" fontId="30" fillId="4" borderId="1" xfId="0" applyNumberFormat="1"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 xfId="0" applyFont="1" applyBorder="1" applyAlignment="1">
      <alignment horizontal="left" vertical="center" wrapText="1"/>
    </xf>
    <xf numFmtId="3" fontId="28" fillId="0" borderId="12" xfId="0" applyNumberFormat="1" applyFont="1" applyBorder="1" applyAlignment="1">
      <alignment horizontal="right" vertical="center" wrapText="1"/>
    </xf>
    <xf numFmtId="0" fontId="28" fillId="0" borderId="1" xfId="0" applyFont="1" applyBorder="1" applyAlignment="1">
      <alignment horizontal="center" vertical="center" wrapText="1"/>
    </xf>
    <xf numFmtId="3" fontId="28" fillId="0" borderId="1" xfId="0" applyNumberFormat="1" applyFont="1" applyBorder="1" applyAlignment="1">
      <alignment horizontal="right" vertical="center" wrapText="1"/>
    </xf>
    <xf numFmtId="0" fontId="20" fillId="0" borderId="0" xfId="0" applyFont="1"/>
    <xf numFmtId="3" fontId="30" fillId="5" borderId="1" xfId="0" applyNumberFormat="1" applyFont="1" applyFill="1" applyBorder="1" applyAlignment="1">
      <alignment horizontal="right" vertical="center" wrapText="1"/>
    </xf>
    <xf numFmtId="0" fontId="28" fillId="6" borderId="1" xfId="0" applyFont="1" applyFill="1" applyBorder="1" applyAlignment="1">
      <alignment horizontal="center" vertical="center" wrapText="1"/>
    </xf>
    <xf numFmtId="0" fontId="26" fillId="7" borderId="1" xfId="0" applyFont="1" applyFill="1" applyBorder="1" applyAlignment="1">
      <alignment horizontal="center" vertical="center"/>
    </xf>
    <xf numFmtId="3" fontId="26" fillId="7" borderId="1" xfId="0" applyNumberFormat="1" applyFont="1" applyFill="1" applyBorder="1" applyAlignment="1">
      <alignment vertical="center"/>
    </xf>
    <xf numFmtId="3" fontId="26" fillId="7" borderId="1" xfId="0" applyNumberFormat="1" applyFont="1" applyFill="1" applyBorder="1" applyAlignment="1">
      <alignment horizontal="right" vertical="center" wrapText="1"/>
    </xf>
    <xf numFmtId="3" fontId="23" fillId="6" borderId="1" xfId="0" applyNumberFormat="1" applyFont="1" applyFill="1" applyBorder="1" applyAlignment="1">
      <alignment horizontal="right" vertical="center"/>
    </xf>
    <xf numFmtId="0" fontId="26" fillId="6" borderId="1" xfId="0" applyFont="1" applyFill="1" applyBorder="1" applyAlignment="1">
      <alignment horizontal="center" vertical="center"/>
    </xf>
    <xf numFmtId="0" fontId="26" fillId="0" borderId="12" xfId="0" applyFont="1" applyBorder="1" applyAlignment="1">
      <alignment horizontal="center" vertical="center" wrapText="1"/>
    </xf>
    <xf numFmtId="0" fontId="26" fillId="0" borderId="30" xfId="0" applyFont="1" applyBorder="1" applyAlignment="1">
      <alignment vertical="center" wrapText="1"/>
    </xf>
    <xf numFmtId="3" fontId="26" fillId="0" borderId="1" xfId="0" applyNumberFormat="1" applyFont="1" applyBorder="1" applyAlignment="1">
      <alignment vertical="center"/>
    </xf>
    <xf numFmtId="3" fontId="26" fillId="0" borderId="1" xfId="0" applyNumberFormat="1" applyFont="1" applyBorder="1" applyAlignment="1">
      <alignment horizontal="right" vertical="center" wrapText="1"/>
    </xf>
    <xf numFmtId="0" fontId="40" fillId="0" borderId="0" xfId="0" applyFont="1"/>
    <xf numFmtId="0" fontId="41" fillId="0" borderId="0" xfId="0" applyFont="1"/>
    <xf numFmtId="0" fontId="26" fillId="0" borderId="30" xfId="0" applyFont="1" applyBorder="1" applyAlignment="1">
      <alignment horizontal="left" vertical="center" wrapText="1"/>
    </xf>
    <xf numFmtId="0" fontId="37" fillId="0" borderId="1" xfId="0" applyFont="1" applyBorder="1" applyAlignment="1">
      <alignment vertical="center"/>
    </xf>
    <xf numFmtId="0" fontId="26" fillId="0" borderId="1" xfId="6" applyFont="1" applyBorder="1" applyAlignment="1">
      <alignment horizontal="center" vertical="center" wrapText="1"/>
    </xf>
    <xf numFmtId="3" fontId="26" fillId="0" borderId="1" xfId="0" applyNumberFormat="1" applyFont="1" applyBorder="1" applyAlignment="1">
      <alignment horizontal="right" vertical="center"/>
    </xf>
    <xf numFmtId="0" fontId="26" fillId="0" borderId="1" xfId="5" applyFont="1" applyBorder="1" applyAlignment="1">
      <alignment horizontal="center" vertical="center"/>
    </xf>
    <xf numFmtId="1" fontId="26" fillId="0" borderId="1" xfId="0" applyNumberFormat="1" applyFont="1" applyBorder="1" applyAlignment="1">
      <alignment horizontal="center" vertical="center" wrapText="1"/>
    </xf>
    <xf numFmtId="0" fontId="1" fillId="0" borderId="0" xfId="0" applyFont="1" applyAlignment="1">
      <alignment horizontal="left" wrapText="1"/>
    </xf>
    <xf numFmtId="0" fontId="37" fillId="0" borderId="1" xfId="0" applyFont="1" applyBorder="1" applyAlignment="1">
      <alignment vertical="center" wrapText="1"/>
    </xf>
    <xf numFmtId="0" fontId="28" fillId="0" borderId="1" xfId="5" applyFont="1" applyBorder="1" applyAlignment="1">
      <alignment horizontal="center" vertical="center"/>
    </xf>
    <xf numFmtId="0" fontId="26" fillId="0" borderId="1" xfId="0" applyFont="1" applyBorder="1" applyAlignment="1">
      <alignment vertical="center" wrapText="1"/>
    </xf>
    <xf numFmtId="0" fontId="17" fillId="0" borderId="1" xfId="6" applyBorder="1" applyAlignment="1">
      <alignment horizontal="center" vertical="center" wrapText="1"/>
    </xf>
    <xf numFmtId="0" fontId="28" fillId="0" borderId="1" xfId="0" applyFont="1" applyBorder="1" applyAlignment="1">
      <alignment horizontal="center" vertical="center"/>
    </xf>
    <xf numFmtId="3" fontId="28" fillId="0" borderId="1" xfId="0" applyNumberFormat="1" applyFont="1" applyBorder="1" applyAlignment="1">
      <alignment horizontal="right" vertical="center"/>
    </xf>
    <xf numFmtId="0" fontId="20" fillId="0" borderId="0" xfId="0" applyFont="1" applyAlignment="1">
      <alignment vertical="center"/>
    </xf>
    <xf numFmtId="3" fontId="30" fillId="5" borderId="1" xfId="0" applyNumberFormat="1" applyFont="1" applyFill="1" applyBorder="1" applyAlignment="1">
      <alignment horizontal="right" vertical="center"/>
    </xf>
    <xf numFmtId="0" fontId="28" fillId="6" borderId="1" xfId="0" applyFont="1" applyFill="1" applyBorder="1" applyAlignment="1">
      <alignment horizontal="center" vertical="center"/>
    </xf>
    <xf numFmtId="0" fontId="28" fillId="0" borderId="45" xfId="0" applyFont="1" applyBorder="1" applyAlignment="1">
      <alignment horizontal="left" vertical="center" wrapText="1"/>
    </xf>
    <xf numFmtId="3" fontId="26" fillId="0" borderId="2" xfId="4" applyNumberFormat="1" applyFont="1" applyBorder="1" applyAlignment="1">
      <alignment vertical="center"/>
    </xf>
    <xf numFmtId="0" fontId="23" fillId="0" borderId="15" xfId="4" applyFont="1" applyBorder="1" applyAlignment="1">
      <alignment horizontal="center" vertical="center" wrapText="1"/>
    </xf>
    <xf numFmtId="0" fontId="23" fillId="0" borderId="17" xfId="4" applyFont="1" applyBorder="1" applyAlignment="1">
      <alignment horizontal="center" vertical="center" wrapText="1"/>
    </xf>
    <xf numFmtId="0" fontId="23" fillId="0" borderId="13" xfId="4" applyFont="1" applyBorder="1" applyAlignment="1">
      <alignment horizontal="center" vertical="center" wrapText="1"/>
    </xf>
    <xf numFmtId="0" fontId="23" fillId="0" borderId="14" xfId="4" applyFont="1" applyBorder="1" applyAlignment="1">
      <alignment horizontal="center" vertical="center" wrapText="1"/>
    </xf>
    <xf numFmtId="0" fontId="23" fillId="0" borderId="17" xfId="4" applyFont="1" applyBorder="1" applyAlignment="1">
      <alignment horizontal="center" vertical="center"/>
    </xf>
    <xf numFmtId="0" fontId="23" fillId="0" borderId="18" xfId="4" applyFont="1" applyBorder="1" applyAlignment="1">
      <alignment horizontal="center" vertical="center"/>
    </xf>
    <xf numFmtId="0" fontId="23" fillId="0" borderId="11" xfId="4" applyFont="1" applyBorder="1" applyAlignment="1">
      <alignment vertical="center" wrapText="1"/>
    </xf>
    <xf numFmtId="3" fontId="26" fillId="0" borderId="11" xfId="4" applyNumberFormat="1" applyFont="1" applyBorder="1" applyAlignment="1">
      <alignment vertical="center"/>
    </xf>
    <xf numFmtId="3" fontId="26" fillId="0" borderId="22" xfId="4" applyNumberFormat="1" applyFont="1" applyBorder="1" applyAlignment="1">
      <alignment vertical="center"/>
    </xf>
    <xf numFmtId="0" fontId="23" fillId="0" borderId="7" xfId="4" applyFont="1" applyBorder="1" applyAlignment="1">
      <alignment vertical="center" wrapText="1"/>
    </xf>
    <xf numFmtId="0" fontId="23" fillId="0" borderId="2" xfId="4" applyFont="1" applyBorder="1" applyAlignment="1">
      <alignment vertical="center"/>
    </xf>
    <xf numFmtId="3" fontId="26" fillId="0" borderId="24" xfId="4" applyNumberFormat="1" applyFont="1" applyBorder="1" applyAlignment="1">
      <alignment vertical="center"/>
    </xf>
    <xf numFmtId="0" fontId="26" fillId="0" borderId="7" xfId="4" applyFont="1" applyBorder="1" applyAlignment="1">
      <alignment vertical="center" wrapText="1"/>
    </xf>
    <xf numFmtId="0" fontId="26" fillId="0" borderId="2" xfId="4" applyFont="1" applyBorder="1" applyAlignment="1">
      <alignment vertical="center"/>
    </xf>
    <xf numFmtId="3" fontId="26" fillId="0" borderId="42" xfId="4" applyNumberFormat="1" applyFont="1" applyBorder="1" applyAlignment="1">
      <alignment vertical="center"/>
    </xf>
    <xf numFmtId="0" fontId="23" fillId="0" borderId="7" xfId="4" applyFont="1" applyBorder="1" applyAlignment="1">
      <alignment horizontal="left" vertical="center" wrapText="1"/>
    </xf>
    <xf numFmtId="0" fontId="23" fillId="0" borderId="2" xfId="4" applyFont="1" applyBorder="1" applyAlignment="1">
      <alignment horizontal="left" vertical="center" wrapText="1"/>
    </xf>
    <xf numFmtId="14" fontId="26" fillId="0" borderId="2" xfId="4" applyNumberFormat="1" applyFont="1" applyBorder="1" applyAlignment="1">
      <alignment horizontal="center" vertical="center"/>
    </xf>
    <xf numFmtId="0" fontId="26" fillId="0" borderId="2" xfId="4" applyFont="1" applyBorder="1" applyAlignment="1">
      <alignment horizontal="center" vertical="center"/>
    </xf>
    <xf numFmtId="0" fontId="23" fillId="0" borderId="2" xfId="4" applyFont="1" applyBorder="1" applyAlignment="1">
      <alignment horizontal="center" vertical="center"/>
    </xf>
    <xf numFmtId="0" fontId="26" fillId="0" borderId="7" xfId="4" applyFont="1" applyBorder="1" applyAlignment="1">
      <alignment horizontal="justify" vertical="center" wrapText="1"/>
    </xf>
    <xf numFmtId="0" fontId="28" fillId="0" borderId="43" xfId="0" applyFont="1" applyBorder="1" applyAlignment="1">
      <alignment horizontal="left" vertical="center" wrapText="1"/>
    </xf>
    <xf numFmtId="0" fontId="28" fillId="0" borderId="44" xfId="0" applyFont="1" applyBorder="1" applyAlignment="1">
      <alignment horizontal="left" vertical="center" wrapText="1"/>
    </xf>
    <xf numFmtId="0" fontId="26" fillId="0" borderId="6" xfId="4" applyFont="1" applyBorder="1" applyAlignment="1">
      <alignment horizontal="center" vertical="center"/>
    </xf>
    <xf numFmtId="0" fontId="26" fillId="0" borderId="21" xfId="4" applyFont="1" applyBorder="1" applyAlignment="1">
      <alignment vertical="center" wrapText="1"/>
    </xf>
    <xf numFmtId="0" fontId="23" fillId="0" borderId="25" xfId="4" applyFont="1" applyBorder="1" applyAlignment="1">
      <alignment vertical="center" wrapText="1"/>
    </xf>
    <xf numFmtId="0" fontId="23" fillId="0" borderId="9" xfId="4" applyFont="1" applyBorder="1" applyAlignment="1">
      <alignment vertical="center"/>
    </xf>
    <xf numFmtId="3" fontId="26" fillId="0" borderId="9" xfId="4" applyNumberFormat="1" applyFont="1" applyBorder="1" applyAlignment="1">
      <alignment vertical="center"/>
    </xf>
    <xf numFmtId="0" fontId="23" fillId="0" borderId="29" xfId="4" applyFont="1" applyBorder="1" applyAlignment="1">
      <alignment vertical="center" wrapText="1"/>
    </xf>
    <xf numFmtId="0" fontId="23" fillId="0" borderId="13" xfId="4" applyFont="1" applyBorder="1" applyAlignment="1">
      <alignment vertical="center"/>
    </xf>
    <xf numFmtId="3" fontId="26" fillId="0" borderId="13" xfId="4" applyNumberFormat="1" applyFont="1" applyBorder="1" applyAlignment="1">
      <alignment vertical="center"/>
    </xf>
    <xf numFmtId="3" fontId="26" fillId="0" borderId="14" xfId="4" applyNumberFormat="1" applyFont="1" applyBorder="1" applyAlignment="1">
      <alignment vertical="center"/>
    </xf>
    <xf numFmtId="166" fontId="26" fillId="0" borderId="1" xfId="2" applyNumberFormat="1" applyFont="1" applyFill="1" applyBorder="1" applyAlignment="1" applyProtection="1">
      <alignment horizontal="right" vertical="center"/>
    </xf>
    <xf numFmtId="0" fontId="28" fillId="0" borderId="1" xfId="0" applyFont="1" applyBorder="1" applyAlignment="1">
      <alignment horizontal="justify" vertical="center" wrapText="1"/>
    </xf>
    <xf numFmtId="3" fontId="36" fillId="0" borderId="0" xfId="4" applyNumberFormat="1" applyFont="1"/>
    <xf numFmtId="2" fontId="20" fillId="0" borderId="0" xfId="9" applyNumberFormat="1" applyFont="1"/>
    <xf numFmtId="170" fontId="26" fillId="0" borderId="20" xfId="2" applyNumberFormat="1" applyFont="1" applyFill="1" applyBorder="1" applyAlignment="1" applyProtection="1">
      <alignment horizontal="right" vertical="center"/>
    </xf>
    <xf numFmtId="166" fontId="26" fillId="0" borderId="1" xfId="2" applyNumberFormat="1" applyFont="1" applyFill="1" applyBorder="1" applyAlignment="1" applyProtection="1"/>
    <xf numFmtId="3" fontId="26" fillId="0" borderId="9" xfId="9" applyNumberFormat="1" applyFont="1" applyBorder="1" applyAlignment="1">
      <alignment horizontal="right" vertical="center"/>
    </xf>
    <xf numFmtId="3" fontId="26" fillId="0" borderId="11" xfId="9" applyNumberFormat="1" applyFont="1" applyBorder="1" applyAlignment="1">
      <alignment horizontal="right" vertical="center"/>
    </xf>
    <xf numFmtId="3" fontId="26" fillId="0" borderId="1" xfId="9" applyNumberFormat="1" applyFont="1" applyBorder="1" applyAlignment="1">
      <alignment horizontal="right" vertical="center"/>
    </xf>
    <xf numFmtId="0" fontId="26" fillId="0" borderId="1" xfId="7" applyFont="1" applyBorder="1" applyAlignment="1">
      <alignment vertical="center" wrapText="1"/>
    </xf>
    <xf numFmtId="0" fontId="26" fillId="0" borderId="1" xfId="9" applyFont="1" applyBorder="1" applyAlignment="1">
      <alignment vertical="center" wrapText="1"/>
    </xf>
    <xf numFmtId="0" fontId="26" fillId="0" borderId="1" xfId="9" applyFont="1" applyBorder="1" applyAlignment="1">
      <alignment horizontal="left" vertical="center" wrapText="1"/>
    </xf>
    <xf numFmtId="0" fontId="26" fillId="0" borderId="1" xfId="7" applyFont="1" applyBorder="1" applyAlignment="1">
      <alignment vertical="top" wrapText="1"/>
    </xf>
    <xf numFmtId="0" fontId="26" fillId="0" borderId="1" xfId="9" applyFont="1" applyBorder="1" applyAlignment="1">
      <alignment vertical="center"/>
    </xf>
    <xf numFmtId="0" fontId="26" fillId="0" borderId="1" xfId="7" applyFont="1" applyBorder="1" applyAlignment="1">
      <alignment horizontal="justify" vertical="center" wrapText="1"/>
    </xf>
    <xf numFmtId="0" fontId="26" fillId="0" borderId="2" xfId="9" applyFont="1" applyBorder="1" applyAlignment="1">
      <alignment horizontal="justify" vertical="center" wrapText="1"/>
    </xf>
    <xf numFmtId="0" fontId="4" fillId="0" borderId="0" xfId="7" applyFont="1" applyAlignment="1">
      <alignment horizontal="justify" vertical="center"/>
    </xf>
    <xf numFmtId="0" fontId="3" fillId="0" borderId="0" xfId="7" applyFont="1" applyAlignment="1">
      <alignment horizontal="justify" vertical="center"/>
    </xf>
    <xf numFmtId="0" fontId="3" fillId="0" borderId="0" xfId="7" applyFont="1" applyAlignment="1">
      <alignment horizontal="justify" vertical="center" wrapText="1"/>
    </xf>
    <xf numFmtId="0" fontId="23" fillId="0" borderId="0" xfId="9" applyFont="1" applyAlignment="1">
      <alignment horizontal="justify" vertical="center"/>
    </xf>
    <xf numFmtId="0" fontId="23" fillId="0" borderId="0" xfId="9" applyFont="1" applyAlignment="1">
      <alignment horizontal="justify" vertical="center" wrapText="1"/>
    </xf>
    <xf numFmtId="0" fontId="26" fillId="0" borderId="2" xfId="9" applyFont="1" applyBorder="1" applyAlignment="1">
      <alignment horizontal="justify" vertical="center"/>
    </xf>
    <xf numFmtId="49" fontId="26" fillId="0" borderId="2" xfId="9" applyNumberFormat="1" applyFont="1" applyBorder="1" applyAlignment="1">
      <alignment horizontal="justify" vertical="center" wrapText="1"/>
    </xf>
    <xf numFmtId="0" fontId="26" fillId="0" borderId="6" xfId="9" applyFont="1" applyBorder="1" applyAlignment="1">
      <alignment horizontal="justify" vertical="center" wrapText="1"/>
    </xf>
    <xf numFmtId="49" fontId="26" fillId="0" borderId="6" xfId="9" applyNumberFormat="1" applyFont="1" applyBorder="1" applyAlignment="1">
      <alignment horizontal="justify" vertical="center" wrapText="1"/>
    </xf>
    <xf numFmtId="0" fontId="26" fillId="0" borderId="9" xfId="9" applyFont="1" applyBorder="1" applyAlignment="1">
      <alignment horizontal="justify" vertical="center" wrapText="1"/>
    </xf>
    <xf numFmtId="0" fontId="26" fillId="0" borderId="2" xfId="7" applyFont="1" applyBorder="1" applyAlignment="1">
      <alignment horizontal="justify" vertical="center" wrapText="1"/>
    </xf>
    <xf numFmtId="0" fontId="23" fillId="0" borderId="0" xfId="7" applyFont="1" applyAlignment="1">
      <alignment horizontal="justify" vertical="center" wrapText="1"/>
    </xf>
    <xf numFmtId="0" fontId="26" fillId="0" borderId="0" xfId="7" applyFont="1" applyAlignment="1">
      <alignment horizontal="justify" vertical="center" wrapText="1"/>
    </xf>
    <xf numFmtId="0" fontId="26" fillId="0" borderId="0" xfId="7" applyFont="1" applyAlignment="1">
      <alignment horizontal="justify" vertical="center"/>
    </xf>
    <xf numFmtId="0" fontId="2" fillId="0" borderId="0" xfId="9" applyAlignment="1">
      <alignment horizontal="justify" vertical="center"/>
    </xf>
    <xf numFmtId="0" fontId="2" fillId="0" borderId="0" xfId="9" applyAlignment="1">
      <alignment horizontal="justify" vertical="center" wrapText="1"/>
    </xf>
    <xf numFmtId="0" fontId="26" fillId="0" borderId="1" xfId="7" applyFont="1" applyBorder="1" applyAlignment="1">
      <alignment horizontal="left" vertical="center" wrapText="1"/>
    </xf>
    <xf numFmtId="0" fontId="5" fillId="0" borderId="32" xfId="7" applyFont="1" applyBorder="1" applyAlignment="1">
      <alignment horizontal="center"/>
    </xf>
    <xf numFmtId="0" fontId="23" fillId="0" borderId="0" xfId="7" applyFont="1" applyAlignment="1">
      <alignment horizontal="center" vertical="center" wrapText="1"/>
    </xf>
    <xf numFmtId="0" fontId="26" fillId="0" borderId="1" xfId="7" applyFont="1" applyBorder="1" applyAlignment="1">
      <alignment horizontal="justify" vertical="center" wrapText="1"/>
    </xf>
    <xf numFmtId="0" fontId="26" fillId="0" borderId="1" xfId="7" applyFont="1" applyBorder="1" applyAlignment="1">
      <alignment horizontal="left" vertical="top" wrapText="1"/>
    </xf>
    <xf numFmtId="0" fontId="26" fillId="0" borderId="1" xfId="7" applyFont="1" applyBorder="1" applyAlignment="1">
      <alignment horizontal="center" vertical="center" wrapText="1"/>
    </xf>
    <xf numFmtId="0" fontId="26" fillId="2" borderId="1" xfId="7" applyFont="1" applyFill="1" applyBorder="1" applyAlignment="1">
      <alignment horizontal="justify" vertical="center" wrapText="1"/>
    </xf>
    <xf numFmtId="0" fontId="26" fillId="2" borderId="1" xfId="7" applyFont="1" applyFill="1" applyBorder="1" applyAlignment="1">
      <alignment horizontal="left" vertical="center" wrapText="1"/>
    </xf>
    <xf numFmtId="0" fontId="26" fillId="0" borderId="30" xfId="7" applyFont="1" applyBorder="1" applyAlignment="1">
      <alignment horizontal="left" vertical="center" wrapText="1"/>
    </xf>
    <xf numFmtId="0" fontId="26" fillId="0" borderId="31" xfId="7" applyFont="1" applyBorder="1" applyAlignment="1">
      <alignment horizontal="left" vertical="center" wrapText="1"/>
    </xf>
    <xf numFmtId="0" fontId="23" fillId="0" borderId="1" xfId="7" applyFont="1" applyBorder="1" applyAlignment="1">
      <alignment horizontal="center" vertical="center" wrapText="1"/>
    </xf>
    <xf numFmtId="0" fontId="23" fillId="0" borderId="1" xfId="7" applyFont="1" applyBorder="1" applyAlignment="1">
      <alignment horizontal="center" wrapText="1"/>
    </xf>
    <xf numFmtId="0" fontId="33" fillId="0" borderId="0" xfId="7" applyFont="1" applyAlignment="1">
      <alignment horizontal="center" vertical="center" wrapText="1"/>
    </xf>
    <xf numFmtId="0" fontId="23" fillId="0" borderId="1" xfId="7" applyFont="1" applyBorder="1" applyAlignment="1">
      <alignment horizontal="left" vertical="center" wrapText="1"/>
    </xf>
    <xf numFmtId="0" fontId="23" fillId="0" borderId="1" xfId="9" applyFont="1" applyBorder="1" applyAlignment="1">
      <alignment horizontal="center" vertical="center" wrapText="1"/>
    </xf>
    <xf numFmtId="0" fontId="1" fillId="0" borderId="0" xfId="9" applyFont="1" applyAlignment="1">
      <alignment horizontal="center" wrapText="1"/>
    </xf>
    <xf numFmtId="0" fontId="26" fillId="0" borderId="9" xfId="7" applyFont="1" applyBorder="1" applyAlignment="1">
      <alignment horizontal="justify" vertical="center" wrapText="1"/>
    </xf>
    <xf numFmtId="0" fontId="25" fillId="0" borderId="2" xfId="9" applyFont="1" applyBorder="1" applyAlignment="1">
      <alignment horizontal="justify" vertical="center" wrapText="1"/>
    </xf>
    <xf numFmtId="0" fontId="26" fillId="0" borderId="2" xfId="7" applyFont="1" applyBorder="1" applyAlignment="1">
      <alignment horizontal="justify" vertical="center" wrapText="1"/>
    </xf>
    <xf numFmtId="0" fontId="26" fillId="0" borderId="2" xfId="9" applyFont="1" applyBorder="1" applyAlignment="1">
      <alignment horizontal="justify" vertical="center" wrapText="1"/>
    </xf>
    <xf numFmtId="0" fontId="25" fillId="0" borderId="8" xfId="9" applyFont="1" applyBorder="1" applyAlignment="1">
      <alignment horizontal="justify" vertical="center" wrapText="1"/>
    </xf>
    <xf numFmtId="0" fontId="25" fillId="0" borderId="6" xfId="9" applyFont="1" applyBorder="1" applyAlignment="1">
      <alignment horizontal="justify" vertical="center" wrapText="1"/>
    </xf>
    <xf numFmtId="0" fontId="26" fillId="0" borderId="6" xfId="0" applyFont="1" applyBorder="1" applyAlignment="1">
      <alignment horizontal="justify" vertical="center" wrapText="1"/>
    </xf>
    <xf numFmtId="0" fontId="26" fillId="0" borderId="5" xfId="9" applyFont="1" applyBorder="1" applyAlignment="1">
      <alignment horizontal="center" vertical="center"/>
    </xf>
    <xf numFmtId="3" fontId="31" fillId="0" borderId="0" xfId="2" applyNumberFormat="1" applyFont="1" applyFill="1" applyBorder="1" applyAlignment="1" applyProtection="1">
      <alignment horizontal="center" vertical="center" wrapText="1"/>
    </xf>
    <xf numFmtId="0" fontId="26" fillId="0" borderId="2" xfId="9" applyFont="1" applyBorder="1" applyAlignment="1">
      <alignment horizontal="center" vertical="center"/>
    </xf>
    <xf numFmtId="0" fontId="26" fillId="0" borderId="8" xfId="9" applyFont="1" applyBorder="1" applyAlignment="1">
      <alignment horizontal="justify" vertical="center" wrapText="1"/>
    </xf>
    <xf numFmtId="0" fontId="26" fillId="0" borderId="6" xfId="9" applyFont="1" applyBorder="1" applyAlignment="1">
      <alignment horizontal="justify" vertical="center" wrapText="1"/>
    </xf>
    <xf numFmtId="0" fontId="26" fillId="0" borderId="11" xfId="9" applyFont="1" applyBorder="1" applyAlignment="1">
      <alignment horizontal="justify" vertical="center" wrapText="1"/>
    </xf>
    <xf numFmtId="3" fontId="26" fillId="0" borderId="8" xfId="2" applyNumberFormat="1" applyFont="1" applyFill="1" applyBorder="1" applyAlignment="1" applyProtection="1">
      <alignment horizontal="center" vertical="center"/>
    </xf>
    <xf numFmtId="3" fontId="26" fillId="0" borderId="36" xfId="2" applyNumberFormat="1" applyFont="1" applyFill="1" applyBorder="1" applyAlignment="1" applyProtection="1">
      <alignment horizontal="center" vertical="center"/>
    </xf>
    <xf numFmtId="3" fontId="26" fillId="0" borderId="6" xfId="2" applyNumberFormat="1" applyFont="1" applyFill="1" applyBorder="1" applyAlignment="1" applyProtection="1">
      <alignment horizontal="center" vertical="center"/>
    </xf>
    <xf numFmtId="0" fontId="26" fillId="0" borderId="2" xfId="9" applyFont="1" applyBorder="1" applyAlignment="1">
      <alignment horizontal="left" wrapText="1"/>
    </xf>
    <xf numFmtId="0" fontId="26" fillId="0" borderId="2" xfId="9" applyFont="1" applyBorder="1" applyAlignment="1">
      <alignment horizontal="left" vertical="center" wrapText="1"/>
    </xf>
    <xf numFmtId="0" fontId="35" fillId="0" borderId="2" xfId="9" applyFont="1" applyBorder="1" applyAlignment="1">
      <alignment horizontal="justify" vertical="center" wrapText="1"/>
    </xf>
    <xf numFmtId="0" fontId="26" fillId="0" borderId="33" xfId="7" applyFont="1" applyBorder="1" applyAlignment="1">
      <alignment horizontal="justify" vertical="center" wrapText="1"/>
    </xf>
    <xf numFmtId="0" fontId="26" fillId="0" borderId="34" xfId="7" applyFont="1" applyBorder="1" applyAlignment="1">
      <alignment horizontal="justify" vertical="center" wrapText="1"/>
    </xf>
    <xf numFmtId="0" fontId="26" fillId="0" borderId="0" xfId="7" applyFont="1" applyAlignment="1">
      <alignment horizontal="left" vertical="center" wrapText="1"/>
    </xf>
    <xf numFmtId="0" fontId="34" fillId="0" borderId="35" xfId="1" applyFont="1" applyFill="1" applyBorder="1" applyAlignment="1">
      <alignment horizontal="center" vertical="center"/>
    </xf>
    <xf numFmtId="0" fontId="34" fillId="0" borderId="0" xfId="1" applyFont="1" applyFill="1" applyBorder="1" applyAlignment="1">
      <alignment horizontal="center" vertical="center"/>
    </xf>
    <xf numFmtId="0" fontId="4" fillId="0" borderId="0" xfId="7" applyFont="1" applyAlignment="1">
      <alignment horizontal="left" vertical="center"/>
    </xf>
    <xf numFmtId="0" fontId="23" fillId="0" borderId="0" xfId="7" applyFont="1" applyAlignment="1">
      <alignment horizontal="right" vertical="center"/>
    </xf>
    <xf numFmtId="0" fontId="33" fillId="0" borderId="0" xfId="9" applyFont="1" applyAlignment="1">
      <alignment horizontal="center" vertical="center" wrapText="1"/>
    </xf>
    <xf numFmtId="0" fontId="23" fillId="0" borderId="2" xfId="9" applyFont="1" applyBorder="1" applyAlignment="1">
      <alignment horizontal="center" vertical="center" wrapText="1"/>
    </xf>
    <xf numFmtId="0" fontId="23" fillId="0" borderId="2" xfId="9" applyFont="1" applyBorder="1" applyAlignment="1">
      <alignment horizontal="justify" vertical="center" wrapText="1"/>
    </xf>
    <xf numFmtId="0" fontId="23" fillId="0" borderId="8" xfId="9" applyFont="1" applyBorder="1" applyAlignment="1">
      <alignment horizontal="center" vertical="center"/>
    </xf>
    <xf numFmtId="0" fontId="23" fillId="0" borderId="2" xfId="9" applyFont="1" applyBorder="1" applyAlignment="1">
      <alignment horizontal="left" vertical="center"/>
    </xf>
    <xf numFmtId="166" fontId="23" fillId="0" borderId="2" xfId="2" applyNumberFormat="1" applyFont="1" applyFill="1" applyBorder="1" applyAlignment="1" applyProtection="1">
      <alignment horizontal="center" vertical="center"/>
    </xf>
    <xf numFmtId="0" fontId="23" fillId="0" borderId="2" xfId="9" applyFont="1" applyBorder="1" applyAlignment="1">
      <alignment horizontal="center" vertical="center"/>
    </xf>
    <xf numFmtId="0" fontId="26" fillId="0" borderId="2" xfId="9" applyFont="1" applyBorder="1" applyAlignment="1">
      <alignment horizontal="center" vertical="center" wrapText="1"/>
    </xf>
    <xf numFmtId="0" fontId="23" fillId="0" borderId="2" xfId="0" applyFont="1" applyBorder="1" applyAlignment="1">
      <alignment horizontal="center" vertical="center"/>
    </xf>
    <xf numFmtId="1" fontId="23" fillId="0" borderId="2" xfId="0" applyNumberFormat="1" applyFont="1" applyBorder="1" applyAlignment="1">
      <alignment horizontal="center" vertical="center" wrapText="1"/>
    </xf>
    <xf numFmtId="0" fontId="27" fillId="0" borderId="3" xfId="0" applyFont="1" applyBorder="1" applyAlignment="1">
      <alignment horizontal="center"/>
    </xf>
    <xf numFmtId="0" fontId="23" fillId="0" borderId="0" xfId="7" applyFont="1" applyAlignment="1">
      <alignment horizontal="left" vertical="center"/>
    </xf>
    <xf numFmtId="0" fontId="33" fillId="0" borderId="0" xfId="0" applyFont="1" applyAlignment="1">
      <alignment horizontal="center"/>
    </xf>
    <xf numFmtId="0" fontId="23" fillId="0" borderId="9" xfId="0" applyFont="1" applyBorder="1" applyAlignment="1">
      <alignment horizontal="center" vertical="center" wrapText="1"/>
    </xf>
    <xf numFmtId="0" fontId="23" fillId="0" borderId="11" xfId="0" applyFont="1" applyBorder="1" applyAlignment="1">
      <alignment horizontal="center" vertical="center" wrapText="1"/>
    </xf>
    <xf numFmtId="0" fontId="26" fillId="0" borderId="0" xfId="7" applyFont="1" applyAlignment="1">
      <alignment horizontal="center" vertical="center"/>
    </xf>
    <xf numFmtId="0" fontId="26" fillId="0" borderId="0" xfId="7" applyFont="1" applyAlignment="1">
      <alignment horizontal="left" vertical="center"/>
    </xf>
    <xf numFmtId="0" fontId="26" fillId="0" borderId="0" xfId="0" applyFont="1" applyAlignment="1">
      <alignment horizontal="left" vertical="center"/>
    </xf>
    <xf numFmtId="0" fontId="26" fillId="0" borderId="0" xfId="7" applyFont="1" applyAlignment="1">
      <alignment horizontal="left"/>
    </xf>
    <xf numFmtId="0" fontId="36" fillId="0" borderId="0" xfId="4" applyFont="1" applyAlignment="1">
      <alignment horizontal="center"/>
    </xf>
    <xf numFmtId="0" fontId="13" fillId="0" borderId="0" xfId="4" applyFont="1" applyAlignment="1">
      <alignment horizontal="center"/>
    </xf>
    <xf numFmtId="0" fontId="23" fillId="0" borderId="0" xfId="8" applyFont="1" applyAlignment="1">
      <alignment horizontal="left" vertical="center"/>
    </xf>
    <xf numFmtId="0" fontId="33" fillId="0" borderId="0" xfId="4" applyFont="1" applyAlignment="1">
      <alignment horizontal="center" vertical="center"/>
    </xf>
    <xf numFmtId="0" fontId="23" fillId="0" borderId="15" xfId="4" applyFont="1" applyBorder="1" applyAlignment="1">
      <alignment horizontal="center" vertical="center"/>
    </xf>
    <xf numFmtId="0" fontId="23" fillId="0" borderId="16" xfId="4" applyFont="1" applyBorder="1" applyAlignment="1">
      <alignment horizontal="center" vertical="center"/>
    </xf>
    <xf numFmtId="0" fontId="23" fillId="0" borderId="15" xfId="4" applyFont="1" applyBorder="1" applyAlignment="1">
      <alignment horizontal="center" vertical="center" wrapText="1"/>
    </xf>
    <xf numFmtId="0" fontId="23" fillId="0" borderId="17" xfId="4" applyFont="1" applyBorder="1" applyAlignment="1">
      <alignment horizontal="center" vertical="center" wrapText="1"/>
    </xf>
    <xf numFmtId="0" fontId="23" fillId="0" borderId="37" xfId="4" applyFont="1" applyBorder="1" applyAlignment="1">
      <alignment horizontal="center" vertical="center" wrapText="1"/>
    </xf>
    <xf numFmtId="0" fontId="23" fillId="0" borderId="38" xfId="4" applyFont="1" applyBorder="1" applyAlignment="1">
      <alignment horizontal="center" vertical="center"/>
    </xf>
    <xf numFmtId="0" fontId="23" fillId="0" borderId="39" xfId="4" applyFont="1" applyBorder="1" applyAlignment="1">
      <alignment horizontal="center" vertical="center"/>
    </xf>
    <xf numFmtId="0" fontId="23" fillId="0" borderId="22" xfId="4" applyFont="1" applyBorder="1" applyAlignment="1">
      <alignment horizontal="center" vertical="center"/>
    </xf>
    <xf numFmtId="0" fontId="26" fillId="0" borderId="25" xfId="4" applyFont="1" applyBorder="1" applyAlignment="1">
      <alignment horizontal="left" vertical="center" wrapText="1"/>
    </xf>
    <xf numFmtId="0" fontId="26" fillId="0" borderId="21" xfId="4" applyFont="1" applyBorder="1" applyAlignment="1">
      <alignment horizontal="left" vertical="center" wrapText="1"/>
    </xf>
    <xf numFmtId="0" fontId="23" fillId="0" borderId="9" xfId="4" applyFont="1" applyBorder="1" applyAlignment="1">
      <alignment horizontal="center" vertical="center"/>
    </xf>
    <xf numFmtId="0" fontId="23" fillId="0" borderId="11" xfId="4" applyFont="1" applyBorder="1" applyAlignment="1">
      <alignment horizontal="center" vertical="center"/>
    </xf>
    <xf numFmtId="3" fontId="26" fillId="0" borderId="9" xfId="4" applyNumberFormat="1" applyFont="1" applyBorder="1" applyAlignment="1">
      <alignment horizontal="right" vertical="center"/>
    </xf>
    <xf numFmtId="3" fontId="26" fillId="0" borderId="11" xfId="4" applyNumberFormat="1" applyFont="1" applyBorder="1" applyAlignment="1">
      <alignment horizontal="right" vertical="center"/>
    </xf>
    <xf numFmtId="3" fontId="26" fillId="0" borderId="39" xfId="4" applyNumberFormat="1" applyFont="1" applyBorder="1" applyAlignment="1">
      <alignment horizontal="right" vertical="center"/>
    </xf>
    <xf numFmtId="3" fontId="26" fillId="0" borderId="22" xfId="4" applyNumberFormat="1" applyFont="1" applyBorder="1" applyAlignment="1">
      <alignment horizontal="right" vertical="center"/>
    </xf>
    <xf numFmtId="0" fontId="23" fillId="0" borderId="0" xfId="8" applyFont="1" applyAlignment="1">
      <alignment horizontal="center" vertical="center"/>
    </xf>
    <xf numFmtId="0" fontId="26" fillId="0" borderId="1" xfId="0" applyFont="1" applyBorder="1" applyAlignment="1">
      <alignment horizontal="left" vertical="center"/>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33" fillId="0" borderId="0" xfId="0" applyFont="1" applyAlignment="1">
      <alignment horizontal="center" vertical="center"/>
    </xf>
    <xf numFmtId="0" fontId="26" fillId="0" borderId="1" xfId="0" applyFont="1" applyBorder="1" applyAlignment="1">
      <alignment horizontal="left" vertical="center" wrapText="1"/>
    </xf>
    <xf numFmtId="0" fontId="23" fillId="0" borderId="0" xfId="7" applyFont="1" applyAlignment="1">
      <alignment horizontal="center" vertical="center"/>
    </xf>
    <xf numFmtId="0" fontId="23" fillId="0" borderId="0" xfId="7" applyFont="1" applyAlignment="1">
      <alignment horizontal="left"/>
    </xf>
    <xf numFmtId="2" fontId="26" fillId="0" borderId="1" xfId="0" applyNumberFormat="1" applyFont="1" applyBorder="1" applyAlignment="1">
      <alignment horizontal="center" vertical="center" wrapText="1"/>
    </xf>
    <xf numFmtId="0" fontId="1" fillId="0" borderId="41" xfId="0" applyFont="1" applyBorder="1" applyAlignment="1">
      <alignment horizontal="left" wrapText="1"/>
    </xf>
    <xf numFmtId="0" fontId="1" fillId="0" borderId="0" xfId="0" applyFont="1" applyAlignment="1">
      <alignment horizontal="left" wrapText="1"/>
    </xf>
    <xf numFmtId="0" fontId="23" fillId="6" borderId="30" xfId="0" applyFont="1" applyFill="1" applyBorder="1" applyAlignment="1">
      <alignment horizontal="right" vertical="center"/>
    </xf>
    <xf numFmtId="0" fontId="23" fillId="6" borderId="40" xfId="0" applyFont="1" applyFill="1" applyBorder="1" applyAlignment="1">
      <alignment horizontal="right" vertical="center"/>
    </xf>
    <xf numFmtId="0" fontId="23" fillId="6" borderId="31" xfId="0" applyFont="1" applyFill="1" applyBorder="1" applyAlignment="1">
      <alignment horizontal="right" vertical="center"/>
    </xf>
    <xf numFmtId="0" fontId="30" fillId="5" borderId="30" xfId="0" applyFont="1" applyFill="1" applyBorder="1" applyAlignment="1">
      <alignment horizontal="right" vertical="center"/>
    </xf>
    <xf numFmtId="0" fontId="30" fillId="5" borderId="40" xfId="0" applyFont="1" applyFill="1" applyBorder="1" applyAlignment="1">
      <alignment horizontal="right" vertical="center"/>
    </xf>
    <xf numFmtId="0" fontId="30" fillId="5" borderId="31" xfId="0" applyFont="1" applyFill="1" applyBorder="1" applyAlignment="1">
      <alignment horizontal="right" vertical="center"/>
    </xf>
    <xf numFmtId="0" fontId="24" fillId="0" borderId="0" xfId="7" applyFont="1" applyAlignment="1">
      <alignment horizontal="center" vertical="center" wrapText="1"/>
    </xf>
    <xf numFmtId="0" fontId="29" fillId="0" borderId="0" xfId="0" applyFont="1" applyAlignment="1">
      <alignment horizontal="center" vertical="center"/>
    </xf>
    <xf numFmtId="0" fontId="23" fillId="0" borderId="0" xfId="0" applyFont="1" applyAlignment="1">
      <alignment horizontal="center" vertical="center"/>
    </xf>
    <xf numFmtId="0" fontId="4" fillId="0" borderId="0" xfId="0" applyFont="1" applyAlignment="1">
      <alignment horizontal="center" vertical="center" wrapText="1"/>
    </xf>
    <xf numFmtId="0" fontId="30" fillId="0" borderId="0" xfId="0" applyFont="1" applyAlignment="1">
      <alignment horizontal="right" vertical="center"/>
    </xf>
    <xf numFmtId="0" fontId="1" fillId="0" borderId="0" xfId="9" applyFont="1" applyAlignment="1">
      <alignment horizontal="justify" vertical="center" wrapText="1"/>
    </xf>
    <xf numFmtId="0" fontId="1" fillId="0" borderId="0" xfId="7" applyFont="1" applyAlignment="1">
      <alignment vertical="center" wrapText="1"/>
    </xf>
    <xf numFmtId="0" fontId="1" fillId="0" borderId="0" xfId="7" applyFont="1" applyAlignment="1">
      <alignment horizontal="center"/>
    </xf>
  </cellXfs>
  <cellStyles count="12">
    <cellStyle name="Bad" xfId="1" builtinId="27"/>
    <cellStyle name="Comma" xfId="2" builtinId="3"/>
    <cellStyle name="Normal"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Normal_BVC sint. v.23.01.2013" xfId="7" xr:uid="{00000000-0005-0000-0000-000007000000}"/>
    <cellStyle name="Normal_BVC sint. v.23.01.2013 2" xfId="8" xr:uid="{00000000-0005-0000-0000-000008000000}"/>
    <cellStyle name="Normal_Copy of Copy of BVC analitic" xfId="9" xr:uid="{00000000-0005-0000-0000-000009000000}"/>
    <cellStyle name="Normal_Copy of Copy of BVC analitic 2" xfId="10" xr:uid="{00000000-0005-0000-0000-00000A000000}"/>
    <cellStyle name="Percent" xfId="1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295275</xdr:colOff>
      <xdr:row>1</xdr:row>
      <xdr:rowOff>57150</xdr:rowOff>
    </xdr:from>
    <xdr:to>
      <xdr:col>4</xdr:col>
      <xdr:colOff>2581275</xdr:colOff>
      <xdr:row>2</xdr:row>
      <xdr:rowOff>142875</xdr:rowOff>
    </xdr:to>
    <xdr:pic>
      <xdr:nvPicPr>
        <xdr:cNvPr id="3635" name="Picture 3">
          <a:extLst>
            <a:ext uri="{FF2B5EF4-FFF2-40B4-BE49-F238E27FC236}">
              <a16:creationId xmlns:a16="http://schemas.microsoft.com/office/drawing/2014/main" id="{10DADEC1-4FE3-45C1-BB9C-30E915848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0150" y="247650"/>
          <a:ext cx="22860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514350</xdr:colOff>
      <xdr:row>2</xdr:row>
      <xdr:rowOff>28575</xdr:rowOff>
    </xdr:from>
    <xdr:to>
      <xdr:col>4</xdr:col>
      <xdr:colOff>2800350</xdr:colOff>
      <xdr:row>3</xdr:row>
      <xdr:rowOff>142875</xdr:rowOff>
    </xdr:to>
    <xdr:pic>
      <xdr:nvPicPr>
        <xdr:cNvPr id="1620" name="Picture 3">
          <a:extLst>
            <a:ext uri="{FF2B5EF4-FFF2-40B4-BE49-F238E27FC236}">
              <a16:creationId xmlns:a16="http://schemas.microsoft.com/office/drawing/2014/main" id="{680F1D10-82CB-4DF5-B582-4BE900C69D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9725" y="390525"/>
          <a:ext cx="22860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457200</xdr:colOff>
      <xdr:row>2</xdr:row>
      <xdr:rowOff>28575</xdr:rowOff>
    </xdr:from>
    <xdr:to>
      <xdr:col>2</xdr:col>
      <xdr:colOff>361950</xdr:colOff>
      <xdr:row>3</xdr:row>
      <xdr:rowOff>114300</xdr:rowOff>
    </xdr:to>
    <xdr:pic>
      <xdr:nvPicPr>
        <xdr:cNvPr id="4653" name="Picture 2">
          <a:extLst>
            <a:ext uri="{FF2B5EF4-FFF2-40B4-BE49-F238E27FC236}">
              <a16:creationId xmlns:a16="http://schemas.microsoft.com/office/drawing/2014/main" id="{C17CFECD-0F35-4645-A6B1-A99F229249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5" y="352425"/>
          <a:ext cx="22860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962025</xdr:colOff>
      <xdr:row>1</xdr:row>
      <xdr:rowOff>47625</xdr:rowOff>
    </xdr:from>
    <xdr:to>
      <xdr:col>2</xdr:col>
      <xdr:colOff>3248025</xdr:colOff>
      <xdr:row>2</xdr:row>
      <xdr:rowOff>133350</xdr:rowOff>
    </xdr:to>
    <xdr:pic>
      <xdr:nvPicPr>
        <xdr:cNvPr id="5685" name="Picture 3">
          <a:extLst>
            <a:ext uri="{FF2B5EF4-FFF2-40B4-BE49-F238E27FC236}">
              <a16:creationId xmlns:a16="http://schemas.microsoft.com/office/drawing/2014/main" id="{42E1C966-2216-4816-9DCB-9F3409E9EC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900" y="228600"/>
          <a:ext cx="22860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685800</xdr:colOff>
      <xdr:row>1</xdr:row>
      <xdr:rowOff>19050</xdr:rowOff>
    </xdr:from>
    <xdr:to>
      <xdr:col>3</xdr:col>
      <xdr:colOff>742950</xdr:colOff>
      <xdr:row>2</xdr:row>
      <xdr:rowOff>104775</xdr:rowOff>
    </xdr:to>
    <xdr:pic>
      <xdr:nvPicPr>
        <xdr:cNvPr id="6701" name="Picture 2">
          <a:extLst>
            <a:ext uri="{FF2B5EF4-FFF2-40B4-BE49-F238E27FC236}">
              <a16:creationId xmlns:a16="http://schemas.microsoft.com/office/drawing/2014/main" id="{5FCEFAD5-685E-4A99-885C-8B17C31116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80975"/>
          <a:ext cx="22860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285750</xdr:colOff>
      <xdr:row>1</xdr:row>
      <xdr:rowOff>123825</xdr:rowOff>
    </xdr:from>
    <xdr:to>
      <xdr:col>1</xdr:col>
      <xdr:colOff>2571750</xdr:colOff>
      <xdr:row>3</xdr:row>
      <xdr:rowOff>19050</xdr:rowOff>
    </xdr:to>
    <xdr:pic>
      <xdr:nvPicPr>
        <xdr:cNvPr id="2" name="Picture 3">
          <a:extLst>
            <a:ext uri="{FF2B5EF4-FFF2-40B4-BE49-F238E27FC236}">
              <a16:creationId xmlns:a16="http://schemas.microsoft.com/office/drawing/2014/main" id="{2DFEE27F-75D5-464A-A181-90D6669C2E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7375" y="314325"/>
          <a:ext cx="22860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1"/>
    <pageSetUpPr fitToPage="1"/>
  </sheetPr>
  <dimension ref="A1:M78"/>
  <sheetViews>
    <sheetView tabSelected="1" topLeftCell="A62" workbookViewId="0">
      <selection activeCell="G78" sqref="G78"/>
    </sheetView>
  </sheetViews>
  <sheetFormatPr defaultRowHeight="12.75" x14ac:dyDescent="0.2"/>
  <cols>
    <col min="1" max="1" width="3.7109375" style="1" customWidth="1"/>
    <col min="2" max="2" width="3.42578125" style="1" customWidth="1"/>
    <col min="3" max="3" width="2.85546875" style="2" customWidth="1"/>
    <col min="4" max="4" width="3.5703125" style="1" customWidth="1"/>
    <col min="5" max="5" width="44.42578125" style="3" customWidth="1"/>
    <col min="6" max="6" width="5" style="4" customWidth="1"/>
    <col min="7" max="7" width="12" style="4" customWidth="1"/>
    <col min="8" max="8" width="10.42578125" style="5" customWidth="1"/>
    <col min="9" max="9" width="7.140625" style="5" customWidth="1"/>
    <col min="10" max="10" width="9" style="4" customWidth="1"/>
    <col min="11" max="11" width="11.28515625" style="5" customWidth="1"/>
    <col min="12" max="12" width="7.5703125" style="5" customWidth="1"/>
    <col min="13" max="13" width="7.42578125" style="5" customWidth="1"/>
    <col min="14" max="16384" width="9.140625" style="5"/>
  </cols>
  <sheetData>
    <row r="1" spans="1:13" ht="15" customHeight="1" x14ac:dyDescent="0.2">
      <c r="G1" s="340" t="s">
        <v>386</v>
      </c>
      <c r="H1" s="340"/>
      <c r="I1" s="340"/>
      <c r="J1" s="340"/>
      <c r="K1" s="50"/>
      <c r="L1" s="50"/>
    </row>
    <row r="2" spans="1:13" ht="15" customHeight="1" x14ac:dyDescent="0.2">
      <c r="G2" s="340"/>
      <c r="H2" s="340"/>
      <c r="I2" s="340"/>
      <c r="J2" s="340"/>
      <c r="K2" s="50"/>
      <c r="L2" s="7"/>
    </row>
    <row r="3" spans="1:13" ht="15" customHeight="1" x14ac:dyDescent="0.2">
      <c r="G3" s="340"/>
      <c r="H3" s="340"/>
      <c r="I3" s="340"/>
      <c r="J3" s="340"/>
      <c r="K3" s="50"/>
      <c r="L3" s="7"/>
    </row>
    <row r="4" spans="1:13" ht="15.75" x14ac:dyDescent="0.2">
      <c r="A4" s="8"/>
      <c r="B4" s="9"/>
      <c r="C4" s="10"/>
      <c r="D4" s="9"/>
      <c r="E4" s="11"/>
      <c r="F4" s="7"/>
      <c r="G4" s="340"/>
      <c r="H4" s="340"/>
      <c r="I4" s="340"/>
      <c r="J4" s="340"/>
    </row>
    <row r="5" spans="1:13" ht="15.75" x14ac:dyDescent="0.25">
      <c r="A5" s="9"/>
      <c r="B5" s="9"/>
      <c r="C5" s="10"/>
      <c r="D5" s="9"/>
      <c r="E5" s="11"/>
      <c r="F5" s="7"/>
      <c r="G5" s="6"/>
      <c r="H5" s="12"/>
      <c r="L5" s="62" t="s">
        <v>528</v>
      </c>
    </row>
    <row r="6" spans="1:13" ht="18" customHeight="1" x14ac:dyDescent="0.2">
      <c r="A6" s="350" t="s">
        <v>437</v>
      </c>
      <c r="B6" s="350"/>
      <c r="C6" s="350"/>
      <c r="D6" s="350"/>
      <c r="E6" s="350"/>
      <c r="F6" s="350"/>
      <c r="G6" s="350"/>
      <c r="H6" s="350"/>
      <c r="I6" s="350"/>
      <c r="J6" s="350"/>
      <c r="K6" s="350"/>
      <c r="L6" s="350"/>
      <c r="M6" s="350"/>
    </row>
    <row r="7" spans="1:13" ht="15.75" x14ac:dyDescent="0.25">
      <c r="A7" s="9"/>
      <c r="B7" s="9"/>
      <c r="C7" s="10"/>
      <c r="D7" s="9"/>
      <c r="E7" s="57"/>
      <c r="F7" s="7"/>
      <c r="G7" s="6"/>
      <c r="H7" s="12"/>
    </row>
    <row r="8" spans="1:13" ht="15" x14ac:dyDescent="0.25">
      <c r="A8" s="51"/>
      <c r="B8" s="51"/>
      <c r="C8" s="14"/>
      <c r="D8" s="51"/>
      <c r="E8" s="52"/>
      <c r="F8" s="7"/>
      <c r="G8" s="339"/>
      <c r="H8" s="339"/>
      <c r="M8" s="15" t="s">
        <v>0</v>
      </c>
    </row>
    <row r="9" spans="1:13" ht="15" customHeight="1" x14ac:dyDescent="0.2">
      <c r="A9" s="351"/>
      <c r="B9" s="351"/>
      <c r="C9" s="351"/>
      <c r="D9" s="348" t="s">
        <v>1</v>
      </c>
      <c r="E9" s="348"/>
      <c r="F9" s="348" t="s">
        <v>2</v>
      </c>
      <c r="G9" s="348" t="s">
        <v>438</v>
      </c>
      <c r="H9" s="348" t="s">
        <v>439</v>
      </c>
      <c r="I9" s="348" t="s">
        <v>3</v>
      </c>
      <c r="J9" s="352" t="s">
        <v>409</v>
      </c>
      <c r="K9" s="352" t="s">
        <v>440</v>
      </c>
      <c r="L9" s="352" t="s">
        <v>4</v>
      </c>
      <c r="M9" s="352"/>
    </row>
    <row r="10" spans="1:13" ht="15" x14ac:dyDescent="0.2">
      <c r="A10" s="351"/>
      <c r="B10" s="351"/>
      <c r="C10" s="351"/>
      <c r="D10" s="348"/>
      <c r="E10" s="348"/>
      <c r="F10" s="348"/>
      <c r="G10" s="348"/>
      <c r="H10" s="348"/>
      <c r="I10" s="348"/>
      <c r="J10" s="352"/>
      <c r="K10" s="352"/>
      <c r="L10" s="183" t="s">
        <v>5</v>
      </c>
      <c r="M10" s="183" t="s">
        <v>6</v>
      </c>
    </row>
    <row r="11" spans="1:13" s="16" customFormat="1" ht="13.5" customHeight="1" x14ac:dyDescent="0.25">
      <c r="A11" s="77">
        <v>0</v>
      </c>
      <c r="B11" s="348">
        <v>1</v>
      </c>
      <c r="C11" s="348"/>
      <c r="D11" s="349">
        <v>2</v>
      </c>
      <c r="E11" s="349"/>
      <c r="F11" s="78">
        <v>3</v>
      </c>
      <c r="G11" s="78">
        <v>4</v>
      </c>
      <c r="H11" s="78">
        <v>5</v>
      </c>
      <c r="I11" s="78" t="s">
        <v>7</v>
      </c>
      <c r="J11" s="184">
        <v>7</v>
      </c>
      <c r="K11" s="184">
        <v>8</v>
      </c>
      <c r="L11" s="184">
        <v>9</v>
      </c>
      <c r="M11" s="184">
        <v>10</v>
      </c>
    </row>
    <row r="12" spans="1:13" ht="13.5" customHeight="1" x14ac:dyDescent="0.2">
      <c r="A12" s="79" t="s">
        <v>8</v>
      </c>
      <c r="B12" s="79"/>
      <c r="C12" s="315"/>
      <c r="D12" s="338" t="s">
        <v>314</v>
      </c>
      <c r="E12" s="338"/>
      <c r="F12" s="79">
        <v>1</v>
      </c>
      <c r="G12" s="181">
        <f>G13+G16</f>
        <v>86852.777280000009</v>
      </c>
      <c r="H12" s="181">
        <f>H13+H16</f>
        <v>114010</v>
      </c>
      <c r="I12" s="181">
        <f>H12/G12*100</f>
        <v>131.268110900414</v>
      </c>
      <c r="J12" s="181">
        <f>H12*1.057</f>
        <v>120508.56999999999</v>
      </c>
      <c r="K12" s="181">
        <f>J12*1.032</f>
        <v>124364.84423999999</v>
      </c>
      <c r="L12" s="185">
        <f>J12/H12*100</f>
        <v>105.69999999999999</v>
      </c>
      <c r="M12" s="185">
        <f>K12/J12*100</f>
        <v>103.2</v>
      </c>
    </row>
    <row r="13" spans="1:13" ht="15" customHeight="1" x14ac:dyDescent="0.2">
      <c r="A13" s="338"/>
      <c r="B13" s="79">
        <v>1</v>
      </c>
      <c r="C13" s="315"/>
      <c r="D13" s="338" t="s">
        <v>9</v>
      </c>
      <c r="E13" s="338"/>
      <c r="F13" s="79">
        <v>2</v>
      </c>
      <c r="G13" s="181">
        <f>'BVC 2023 analitic (A2)'!J14</f>
        <v>84748.488540000006</v>
      </c>
      <c r="H13" s="181">
        <f>'BVC 2023 analitic (A2)'!N14</f>
        <v>113610</v>
      </c>
      <c r="I13" s="181">
        <f>H13/G13*100</f>
        <v>134.05548813578875</v>
      </c>
      <c r="J13" s="181">
        <f t="shared" ref="J13:J56" si="0">H13*1.057</f>
        <v>120085.76999999999</v>
      </c>
      <c r="K13" s="181">
        <f t="shared" ref="K13:K56" si="1">J13*1.032</f>
        <v>123928.51463999999</v>
      </c>
      <c r="L13" s="80">
        <f>J13/H13*100</f>
        <v>105.69999999999999</v>
      </c>
      <c r="M13" s="80">
        <f>K13/J13*100</f>
        <v>103.2</v>
      </c>
    </row>
    <row r="14" spans="1:13" ht="15" customHeight="1" x14ac:dyDescent="0.2">
      <c r="A14" s="338"/>
      <c r="B14" s="79"/>
      <c r="C14" s="315"/>
      <c r="D14" s="82" t="s">
        <v>10</v>
      </c>
      <c r="E14" s="316" t="s">
        <v>11</v>
      </c>
      <c r="F14" s="79">
        <v>3</v>
      </c>
      <c r="G14" s="181">
        <v>0</v>
      </c>
      <c r="H14" s="181">
        <v>0</v>
      </c>
      <c r="I14" s="181">
        <v>0</v>
      </c>
      <c r="J14" s="181">
        <f t="shared" si="0"/>
        <v>0</v>
      </c>
      <c r="K14" s="181">
        <f t="shared" si="1"/>
        <v>0</v>
      </c>
      <c r="L14" s="80">
        <v>0</v>
      </c>
      <c r="M14" s="80">
        <v>0</v>
      </c>
    </row>
    <row r="15" spans="1:13" ht="15" customHeight="1" x14ac:dyDescent="0.2">
      <c r="A15" s="338"/>
      <c r="B15" s="79"/>
      <c r="C15" s="315"/>
      <c r="D15" s="82" t="s">
        <v>12</v>
      </c>
      <c r="E15" s="317" t="s">
        <v>13</v>
      </c>
      <c r="F15" s="79">
        <v>4</v>
      </c>
      <c r="G15" s="181">
        <v>0</v>
      </c>
      <c r="H15" s="181">
        <v>0</v>
      </c>
      <c r="I15" s="181">
        <v>0</v>
      </c>
      <c r="J15" s="181">
        <f t="shared" si="0"/>
        <v>0</v>
      </c>
      <c r="K15" s="181">
        <f t="shared" si="1"/>
        <v>0</v>
      </c>
      <c r="L15" s="80">
        <v>0</v>
      </c>
      <c r="M15" s="80">
        <v>0</v>
      </c>
    </row>
    <row r="16" spans="1:13" ht="16.5" customHeight="1" x14ac:dyDescent="0.2">
      <c r="A16" s="338"/>
      <c r="B16" s="79">
        <v>2</v>
      </c>
      <c r="C16" s="315"/>
      <c r="D16" s="338" t="s">
        <v>14</v>
      </c>
      <c r="E16" s="338"/>
      <c r="F16" s="79">
        <v>5</v>
      </c>
      <c r="G16" s="181">
        <f>'BVC 2023 analitic (A2)'!J34</f>
        <v>2104.2887400000004</v>
      </c>
      <c r="H16" s="181">
        <f>'BVC 2023 analitic (A2)'!N34</f>
        <v>400</v>
      </c>
      <c r="I16" s="181">
        <f>H16/G16*100</f>
        <v>19.008798193730765</v>
      </c>
      <c r="J16" s="181">
        <f t="shared" si="0"/>
        <v>422.79999999999995</v>
      </c>
      <c r="K16" s="181">
        <f t="shared" si="1"/>
        <v>436.32959999999997</v>
      </c>
      <c r="L16" s="80">
        <f>J16/H16*100</f>
        <v>105.69999999999999</v>
      </c>
      <c r="M16" s="80">
        <f>K16/J16*100</f>
        <v>103.2</v>
      </c>
    </row>
    <row r="17" spans="1:13" ht="15.75" customHeight="1" x14ac:dyDescent="0.2">
      <c r="A17" s="79" t="s">
        <v>15</v>
      </c>
      <c r="B17" s="79"/>
      <c r="C17" s="315"/>
      <c r="D17" s="338" t="s">
        <v>315</v>
      </c>
      <c r="E17" s="338"/>
      <c r="F17" s="79">
        <v>6</v>
      </c>
      <c r="G17" s="181">
        <f>G18+G30</f>
        <v>79052.157020000013</v>
      </c>
      <c r="H17" s="181">
        <f>H18+H30</f>
        <v>113778.57154999999</v>
      </c>
      <c r="I17" s="181">
        <f t="shared" ref="I17:I24" si="2">H17/G17*100</f>
        <v>143.92848448299048</v>
      </c>
      <c r="J17" s="181">
        <f t="shared" si="0"/>
        <v>120263.95012834998</v>
      </c>
      <c r="K17" s="181">
        <f t="shared" si="1"/>
        <v>124112.39653245719</v>
      </c>
      <c r="L17" s="185">
        <f t="shared" ref="L17:L24" si="3">J17/H17*100</f>
        <v>105.69999999999999</v>
      </c>
      <c r="M17" s="185">
        <f t="shared" ref="M17:M24" si="4">K17/J17*100</f>
        <v>103.2</v>
      </c>
    </row>
    <row r="18" spans="1:13" ht="26.25" customHeight="1" x14ac:dyDescent="0.2">
      <c r="A18" s="338"/>
      <c r="B18" s="79">
        <v>1</v>
      </c>
      <c r="C18" s="315"/>
      <c r="D18" s="338" t="s">
        <v>316</v>
      </c>
      <c r="E18" s="338"/>
      <c r="F18" s="79">
        <v>7</v>
      </c>
      <c r="G18" s="181">
        <f>G19+G20+G21+G29</f>
        <v>77919.779440000013</v>
      </c>
      <c r="H18" s="181">
        <f>H19+H20+H21+H29</f>
        <v>112513.57154999999</v>
      </c>
      <c r="I18" s="181">
        <f t="shared" si="2"/>
        <v>144.39667611820948</v>
      </c>
      <c r="J18" s="181">
        <f t="shared" si="0"/>
        <v>118926.84512834999</v>
      </c>
      <c r="K18" s="181">
        <f t="shared" si="1"/>
        <v>122732.50417245719</v>
      </c>
      <c r="L18" s="80">
        <f t="shared" si="3"/>
        <v>105.69999999999999</v>
      </c>
      <c r="M18" s="80">
        <f t="shared" si="4"/>
        <v>103.2</v>
      </c>
    </row>
    <row r="19" spans="1:13" ht="16.5" customHeight="1" x14ac:dyDescent="0.2">
      <c r="A19" s="338"/>
      <c r="B19" s="343"/>
      <c r="C19" s="315" t="s">
        <v>16</v>
      </c>
      <c r="D19" s="338" t="s">
        <v>17</v>
      </c>
      <c r="E19" s="338"/>
      <c r="F19" s="79">
        <v>8</v>
      </c>
      <c r="G19" s="181">
        <f>'BVC 2023 analitic (A2)'!J42</f>
        <v>29126.102910000001</v>
      </c>
      <c r="H19" s="181">
        <f>'BVC 2023 analitic (A2)'!N42</f>
        <v>37403</v>
      </c>
      <c r="I19" s="181">
        <f t="shared" si="2"/>
        <v>128.41745466455197</v>
      </c>
      <c r="J19" s="181">
        <f t="shared" si="0"/>
        <v>39534.970999999998</v>
      </c>
      <c r="K19" s="181">
        <f t="shared" si="1"/>
        <v>40800.090071999999</v>
      </c>
      <c r="L19" s="80">
        <f t="shared" si="3"/>
        <v>105.69999999999999</v>
      </c>
      <c r="M19" s="80">
        <f t="shared" si="4"/>
        <v>103.2</v>
      </c>
    </row>
    <row r="20" spans="1:13" ht="16.5" customHeight="1" x14ac:dyDescent="0.2">
      <c r="A20" s="338"/>
      <c r="B20" s="343"/>
      <c r="C20" s="315" t="s">
        <v>18</v>
      </c>
      <c r="D20" s="338" t="s">
        <v>19</v>
      </c>
      <c r="E20" s="338"/>
      <c r="F20" s="79">
        <v>9</v>
      </c>
      <c r="G20" s="181">
        <f>'BVC 2023 analitic (A2)'!J90</f>
        <v>11983.472659999999</v>
      </c>
      <c r="H20" s="181">
        <f>'BVC 2023 analitic (A2)'!N90</f>
        <v>23820</v>
      </c>
      <c r="I20" s="181">
        <f t="shared" si="2"/>
        <v>198.7737668022518</v>
      </c>
      <c r="J20" s="181">
        <f t="shared" si="0"/>
        <v>25177.739999999998</v>
      </c>
      <c r="K20" s="181">
        <f t="shared" si="1"/>
        <v>25983.427679999997</v>
      </c>
      <c r="L20" s="80">
        <f t="shared" si="3"/>
        <v>105.69999999999999</v>
      </c>
      <c r="M20" s="80">
        <f t="shared" si="4"/>
        <v>103.2</v>
      </c>
    </row>
    <row r="21" spans="1:13" ht="27.75" customHeight="1" x14ac:dyDescent="0.2">
      <c r="A21" s="338"/>
      <c r="B21" s="343"/>
      <c r="C21" s="318" t="s">
        <v>20</v>
      </c>
      <c r="D21" s="338" t="s">
        <v>317</v>
      </c>
      <c r="E21" s="338"/>
      <c r="F21" s="79">
        <v>10</v>
      </c>
      <c r="G21" s="181">
        <f>G22+G25+G27+G28</f>
        <v>33952.663830000005</v>
      </c>
      <c r="H21" s="181">
        <f>H22+H25+H27+H28</f>
        <v>46950.571550000001</v>
      </c>
      <c r="I21" s="181">
        <f>H21/G21*100</f>
        <v>138.28243870666569</v>
      </c>
      <c r="J21" s="181">
        <f t="shared" si="0"/>
        <v>49626.754128349996</v>
      </c>
      <c r="K21" s="181">
        <f t="shared" si="1"/>
        <v>51214.810260457198</v>
      </c>
      <c r="L21" s="80">
        <f t="shared" si="3"/>
        <v>105.69999999999999</v>
      </c>
      <c r="M21" s="80">
        <f t="shared" si="4"/>
        <v>103.2</v>
      </c>
    </row>
    <row r="22" spans="1:13" ht="18.75" customHeight="1" x14ac:dyDescent="0.2">
      <c r="A22" s="338"/>
      <c r="B22" s="343"/>
      <c r="C22" s="81"/>
      <c r="D22" s="319" t="s">
        <v>21</v>
      </c>
      <c r="E22" s="317" t="s">
        <v>318</v>
      </c>
      <c r="F22" s="79">
        <v>11</v>
      </c>
      <c r="G22" s="181">
        <f>'BVC 2023 analitic (A2)'!J98</f>
        <v>32074.615829999999</v>
      </c>
      <c r="H22" s="181">
        <f>'BVC 2023 analitic (A2)'!N98</f>
        <v>44422.8</v>
      </c>
      <c r="I22" s="181">
        <f t="shared" si="2"/>
        <v>138.49830730770753</v>
      </c>
      <c r="J22" s="181">
        <f t="shared" si="0"/>
        <v>46954.899599999997</v>
      </c>
      <c r="K22" s="181">
        <f t="shared" si="1"/>
        <v>48457.4563872</v>
      </c>
      <c r="L22" s="80">
        <f t="shared" si="3"/>
        <v>105.69999999999999</v>
      </c>
      <c r="M22" s="80">
        <f t="shared" si="4"/>
        <v>103.2</v>
      </c>
    </row>
    <row r="23" spans="1:13" ht="16.5" customHeight="1" x14ac:dyDescent="0.2">
      <c r="A23" s="338"/>
      <c r="B23" s="343"/>
      <c r="C23" s="81"/>
      <c r="D23" s="82" t="s">
        <v>22</v>
      </c>
      <c r="E23" s="82" t="s">
        <v>23</v>
      </c>
      <c r="F23" s="79">
        <v>12</v>
      </c>
      <c r="G23" s="181">
        <f>'BVC 2023 analitic (A2)'!J99</f>
        <v>28923.923999999999</v>
      </c>
      <c r="H23" s="181">
        <f>'BVC 2023 analitic (A2)'!N99</f>
        <v>39008</v>
      </c>
      <c r="I23" s="181">
        <f t="shared" si="2"/>
        <v>134.86413530888825</v>
      </c>
      <c r="J23" s="181">
        <f t="shared" si="0"/>
        <v>41231.455999999998</v>
      </c>
      <c r="K23" s="181">
        <f t="shared" si="1"/>
        <v>42550.862591999998</v>
      </c>
      <c r="L23" s="80">
        <f t="shared" si="3"/>
        <v>105.69999999999999</v>
      </c>
      <c r="M23" s="80">
        <f t="shared" si="4"/>
        <v>103.2</v>
      </c>
    </row>
    <row r="24" spans="1:13" ht="16.5" customHeight="1" x14ac:dyDescent="0.2">
      <c r="A24" s="338"/>
      <c r="B24" s="343"/>
      <c r="C24" s="81"/>
      <c r="D24" s="82" t="s">
        <v>24</v>
      </c>
      <c r="E24" s="82" t="s">
        <v>25</v>
      </c>
      <c r="F24" s="79">
        <v>13</v>
      </c>
      <c r="G24" s="181">
        <f>'BVC 2023 analitic (A2)'!J103</f>
        <v>3150.6918300000002</v>
      </c>
      <c r="H24" s="181">
        <f>'BVC 2023 analitic (A2)'!N103</f>
        <v>5414.8</v>
      </c>
      <c r="I24" s="181">
        <f t="shared" si="2"/>
        <v>171.86066718559397</v>
      </c>
      <c r="J24" s="181">
        <f t="shared" si="0"/>
        <v>5723.4435999999996</v>
      </c>
      <c r="K24" s="181">
        <f t="shared" si="1"/>
        <v>5906.5937951999995</v>
      </c>
      <c r="L24" s="80">
        <f t="shared" si="3"/>
        <v>105.69999999999999</v>
      </c>
      <c r="M24" s="80">
        <f t="shared" si="4"/>
        <v>103.2</v>
      </c>
    </row>
    <row r="25" spans="1:13" ht="15.75" customHeight="1" x14ac:dyDescent="0.2">
      <c r="A25" s="338"/>
      <c r="B25" s="343"/>
      <c r="C25" s="81"/>
      <c r="D25" s="82" t="s">
        <v>26</v>
      </c>
      <c r="E25" s="82" t="s">
        <v>27</v>
      </c>
      <c r="F25" s="79">
        <v>14</v>
      </c>
      <c r="G25" s="181">
        <f>'BVC 2023 analitic (A2)'!J111</f>
        <v>0</v>
      </c>
      <c r="H25" s="181">
        <f>'BVC 2023 analitic (A2)'!N111</f>
        <v>0</v>
      </c>
      <c r="I25" s="181">
        <v>0</v>
      </c>
      <c r="J25" s="181">
        <f t="shared" si="0"/>
        <v>0</v>
      </c>
      <c r="K25" s="181">
        <f t="shared" si="1"/>
        <v>0</v>
      </c>
      <c r="L25" s="80">
        <v>0</v>
      </c>
      <c r="M25" s="80">
        <v>0</v>
      </c>
    </row>
    <row r="26" spans="1:13" ht="30" x14ac:dyDescent="0.2">
      <c r="A26" s="338"/>
      <c r="B26" s="343"/>
      <c r="C26" s="81"/>
      <c r="D26" s="82"/>
      <c r="E26" s="82" t="s">
        <v>28</v>
      </c>
      <c r="F26" s="79">
        <v>15</v>
      </c>
      <c r="G26" s="181">
        <v>0</v>
      </c>
      <c r="H26" s="181">
        <v>0</v>
      </c>
      <c r="I26" s="181">
        <v>0</v>
      </c>
      <c r="J26" s="181">
        <f t="shared" si="0"/>
        <v>0</v>
      </c>
      <c r="K26" s="181">
        <f t="shared" si="1"/>
        <v>0</v>
      </c>
      <c r="L26" s="80">
        <v>0</v>
      </c>
      <c r="M26" s="80">
        <v>0</v>
      </c>
    </row>
    <row r="27" spans="1:13" ht="40.9" customHeight="1" x14ac:dyDescent="0.2">
      <c r="A27" s="338"/>
      <c r="B27" s="343"/>
      <c r="C27" s="81"/>
      <c r="D27" s="82" t="s">
        <v>29</v>
      </c>
      <c r="E27" s="82" t="s">
        <v>30</v>
      </c>
      <c r="F27" s="79">
        <v>16</v>
      </c>
      <c r="G27" s="181">
        <f>'BVC 2023 analitic (A2)'!J115</f>
        <v>1205.623</v>
      </c>
      <c r="H27" s="181">
        <f>'BVC 2023 analitic (A2)'!N115</f>
        <v>1587.1800000000003</v>
      </c>
      <c r="I27" s="181">
        <f t="shared" ref="I27:I32" si="5">H27/G27*100</f>
        <v>131.6481188563921</v>
      </c>
      <c r="J27" s="181">
        <f t="shared" si="0"/>
        <v>1677.6492600000001</v>
      </c>
      <c r="K27" s="181">
        <f t="shared" si="1"/>
        <v>1731.3340363200002</v>
      </c>
      <c r="L27" s="80">
        <f t="shared" ref="L27:L32" si="6">J27/H27*100</f>
        <v>105.69999999999999</v>
      </c>
      <c r="M27" s="80">
        <f t="shared" ref="M27:M32" si="7">K27/J27*100</f>
        <v>103.2</v>
      </c>
    </row>
    <row r="28" spans="1:13" ht="17.25" customHeight="1" x14ac:dyDescent="0.2">
      <c r="A28" s="338"/>
      <c r="B28" s="343"/>
      <c r="C28" s="81"/>
      <c r="D28" s="82" t="s">
        <v>31</v>
      </c>
      <c r="E28" s="82" t="s">
        <v>32</v>
      </c>
      <c r="F28" s="79">
        <v>17</v>
      </c>
      <c r="G28" s="181">
        <f>'BVC 2023 analitic (A2)'!J124</f>
        <v>672.42499999999995</v>
      </c>
      <c r="H28" s="181">
        <f>'BVC 2023 analitic (A2)'!N124</f>
        <v>940.59154999999998</v>
      </c>
      <c r="I28" s="181">
        <f t="shared" si="5"/>
        <v>139.88051455552664</v>
      </c>
      <c r="J28" s="181">
        <f t="shared" si="0"/>
        <v>994.20526834999987</v>
      </c>
      <c r="K28" s="181">
        <f t="shared" si="1"/>
        <v>1026.0198369371999</v>
      </c>
      <c r="L28" s="80">
        <f t="shared" si="6"/>
        <v>105.69999999999999</v>
      </c>
      <c r="M28" s="80">
        <f t="shared" si="7"/>
        <v>103.2</v>
      </c>
    </row>
    <row r="29" spans="1:13" ht="15" customHeight="1" x14ac:dyDescent="0.2">
      <c r="A29" s="338"/>
      <c r="B29" s="343"/>
      <c r="C29" s="315" t="s">
        <v>33</v>
      </c>
      <c r="D29" s="342" t="s">
        <v>34</v>
      </c>
      <c r="E29" s="342"/>
      <c r="F29" s="79">
        <v>18</v>
      </c>
      <c r="G29" s="181">
        <f>'BVC 2023 analitic (A2)'!J125</f>
        <v>2857.5400399999999</v>
      </c>
      <c r="H29" s="181">
        <f>'BVC 2023 analitic (A2)'!N125</f>
        <v>4340</v>
      </c>
      <c r="I29" s="181">
        <f t="shared" si="5"/>
        <v>151.8788867084431</v>
      </c>
      <c r="J29" s="181">
        <f t="shared" si="0"/>
        <v>4587.38</v>
      </c>
      <c r="K29" s="181">
        <f t="shared" si="1"/>
        <v>4734.17616</v>
      </c>
      <c r="L29" s="80">
        <f t="shared" si="6"/>
        <v>105.69999999999999</v>
      </c>
      <c r="M29" s="80">
        <f t="shared" si="7"/>
        <v>103.2</v>
      </c>
    </row>
    <row r="30" spans="1:13" ht="17.25" customHeight="1" x14ac:dyDescent="0.2">
      <c r="A30" s="338"/>
      <c r="B30" s="79">
        <v>2</v>
      </c>
      <c r="C30" s="315"/>
      <c r="D30" s="338" t="s">
        <v>35</v>
      </c>
      <c r="E30" s="338"/>
      <c r="F30" s="79">
        <v>19</v>
      </c>
      <c r="G30" s="181">
        <f>'BVC 2023 analitic (A2)'!J142</f>
        <v>1132.3775800000001</v>
      </c>
      <c r="H30" s="181">
        <f>'BVC 2023 analitic (A2)'!N142</f>
        <v>1265</v>
      </c>
      <c r="I30" s="181">
        <f t="shared" si="5"/>
        <v>111.71185498038561</v>
      </c>
      <c r="J30" s="181">
        <f t="shared" si="0"/>
        <v>1337.105</v>
      </c>
      <c r="K30" s="181">
        <f t="shared" si="1"/>
        <v>1379.8923600000001</v>
      </c>
      <c r="L30" s="80">
        <f t="shared" si="6"/>
        <v>105.69999999999999</v>
      </c>
      <c r="M30" s="80">
        <f t="shared" si="7"/>
        <v>103.2</v>
      </c>
    </row>
    <row r="31" spans="1:13" ht="26.25" customHeight="1" x14ac:dyDescent="0.2">
      <c r="A31" s="79" t="s">
        <v>36</v>
      </c>
      <c r="B31" s="79"/>
      <c r="C31" s="315"/>
      <c r="D31" s="338" t="s">
        <v>319</v>
      </c>
      <c r="E31" s="338"/>
      <c r="F31" s="79">
        <v>20</v>
      </c>
      <c r="G31" s="181">
        <f>G12-G17</f>
        <v>7800.6202599999961</v>
      </c>
      <c r="H31" s="181">
        <f>H12-H17</f>
        <v>231.42845000000671</v>
      </c>
      <c r="I31" s="181">
        <f t="shared" si="5"/>
        <v>2.9667954891577661</v>
      </c>
      <c r="J31" s="181">
        <f t="shared" si="0"/>
        <v>244.61987165000707</v>
      </c>
      <c r="K31" s="181">
        <f t="shared" si="1"/>
        <v>252.44770754280731</v>
      </c>
      <c r="L31" s="80">
        <f t="shared" si="6"/>
        <v>105.69999999999999</v>
      </c>
      <c r="M31" s="80">
        <f t="shared" si="7"/>
        <v>103.2</v>
      </c>
    </row>
    <row r="32" spans="1:13" ht="15.75" customHeight="1" x14ac:dyDescent="0.2">
      <c r="A32" s="79" t="s">
        <v>37</v>
      </c>
      <c r="B32" s="79">
        <v>1</v>
      </c>
      <c r="C32" s="315"/>
      <c r="D32" s="338" t="s">
        <v>320</v>
      </c>
      <c r="E32" s="338"/>
      <c r="F32" s="79">
        <v>21</v>
      </c>
      <c r="G32" s="181">
        <f>'BVC 2023 analitic (A2)'!J153</f>
        <v>1073.46</v>
      </c>
      <c r="H32" s="181">
        <f>'BVC 2023 analitic (A2)'!N153</f>
        <v>37.028552000001071</v>
      </c>
      <c r="I32" s="181">
        <f t="shared" si="5"/>
        <v>3.4494580142717073</v>
      </c>
      <c r="J32" s="181">
        <f t="shared" si="0"/>
        <v>39.139179464001131</v>
      </c>
      <c r="K32" s="181">
        <f t="shared" si="1"/>
        <v>40.391633206849171</v>
      </c>
      <c r="L32" s="80">
        <f t="shared" si="6"/>
        <v>105.69999999999999</v>
      </c>
      <c r="M32" s="80">
        <f t="shared" si="7"/>
        <v>103.2</v>
      </c>
    </row>
    <row r="33" spans="1:13" ht="15.75" customHeight="1" x14ac:dyDescent="0.2">
      <c r="A33" s="79"/>
      <c r="B33" s="79">
        <v>2</v>
      </c>
      <c r="C33" s="315"/>
      <c r="D33" s="338" t="s">
        <v>321</v>
      </c>
      <c r="E33" s="338"/>
      <c r="F33" s="79">
        <v>22</v>
      </c>
      <c r="G33" s="181">
        <v>0</v>
      </c>
      <c r="H33" s="181">
        <v>0</v>
      </c>
      <c r="I33" s="181"/>
      <c r="J33" s="181">
        <f t="shared" si="0"/>
        <v>0</v>
      </c>
      <c r="K33" s="181">
        <f t="shared" si="1"/>
        <v>0</v>
      </c>
      <c r="L33" s="80"/>
      <c r="M33" s="80"/>
    </row>
    <row r="34" spans="1:13" ht="15.75" customHeight="1" x14ac:dyDescent="0.2">
      <c r="A34" s="79"/>
      <c r="B34" s="79">
        <v>3</v>
      </c>
      <c r="C34" s="315"/>
      <c r="D34" s="338" t="s">
        <v>322</v>
      </c>
      <c r="E34" s="338"/>
      <c r="F34" s="79">
        <v>23</v>
      </c>
      <c r="G34" s="181">
        <v>0</v>
      </c>
      <c r="H34" s="181">
        <v>0</v>
      </c>
      <c r="I34" s="181"/>
      <c r="J34" s="181">
        <f t="shared" si="0"/>
        <v>0</v>
      </c>
      <c r="K34" s="181">
        <f t="shared" si="1"/>
        <v>0</v>
      </c>
      <c r="L34" s="80"/>
      <c r="M34" s="80"/>
    </row>
    <row r="35" spans="1:13" ht="15.75" customHeight="1" x14ac:dyDescent="0.2">
      <c r="A35" s="79"/>
      <c r="B35" s="79">
        <v>4</v>
      </c>
      <c r="C35" s="315"/>
      <c r="D35" s="346" t="s">
        <v>323</v>
      </c>
      <c r="E35" s="347"/>
      <c r="F35" s="79">
        <v>24</v>
      </c>
      <c r="G35" s="181">
        <v>0</v>
      </c>
      <c r="H35" s="181">
        <v>0</v>
      </c>
      <c r="I35" s="181"/>
      <c r="J35" s="181">
        <f t="shared" si="0"/>
        <v>0</v>
      </c>
      <c r="K35" s="181">
        <f t="shared" si="1"/>
        <v>0</v>
      </c>
      <c r="L35" s="80"/>
      <c r="M35" s="80"/>
    </row>
    <row r="36" spans="1:13" ht="24.75" customHeight="1" x14ac:dyDescent="0.2">
      <c r="A36" s="79"/>
      <c r="B36" s="79">
        <v>5</v>
      </c>
      <c r="C36" s="315"/>
      <c r="D36" s="346" t="s">
        <v>324</v>
      </c>
      <c r="E36" s="347"/>
      <c r="F36" s="79">
        <v>25</v>
      </c>
      <c r="G36" s="181">
        <v>0</v>
      </c>
      <c r="H36" s="181">
        <v>0</v>
      </c>
      <c r="I36" s="181"/>
      <c r="J36" s="181">
        <f t="shared" si="0"/>
        <v>0</v>
      </c>
      <c r="K36" s="181">
        <f t="shared" si="1"/>
        <v>0</v>
      </c>
      <c r="L36" s="80"/>
      <c r="M36" s="80"/>
    </row>
    <row r="37" spans="1:13" s="18" customFormat="1" ht="42.75" customHeight="1" x14ac:dyDescent="0.2">
      <c r="A37" s="79" t="s">
        <v>38</v>
      </c>
      <c r="B37" s="79"/>
      <c r="C37" s="315"/>
      <c r="D37" s="338" t="s">
        <v>325</v>
      </c>
      <c r="E37" s="338"/>
      <c r="F37" s="79">
        <v>26</v>
      </c>
      <c r="G37" s="181">
        <f>G31-G32-G33+G34-G35-G36</f>
        <v>6727.160259999996</v>
      </c>
      <c r="H37" s="181">
        <f>H31-H32-H33+H34-H35-H36</f>
        <v>194.39989800000563</v>
      </c>
      <c r="I37" s="181">
        <f>H37/G37*100</f>
        <v>2.8897765251099541</v>
      </c>
      <c r="J37" s="181">
        <f t="shared" si="0"/>
        <v>205.48069218600594</v>
      </c>
      <c r="K37" s="181">
        <f t="shared" si="1"/>
        <v>212.05607433595813</v>
      </c>
      <c r="L37" s="80">
        <f>J37/H37*100</f>
        <v>105.69999999999999</v>
      </c>
      <c r="M37" s="80">
        <f>K37/J37*100</f>
        <v>103.2</v>
      </c>
    </row>
    <row r="38" spans="1:13" ht="15.75" customHeight="1" x14ac:dyDescent="0.2">
      <c r="A38" s="343"/>
      <c r="B38" s="79">
        <v>1</v>
      </c>
      <c r="C38" s="315"/>
      <c r="D38" s="338" t="s">
        <v>39</v>
      </c>
      <c r="E38" s="338"/>
      <c r="F38" s="79">
        <v>27</v>
      </c>
      <c r="G38" s="181">
        <f>G31*5/100</f>
        <v>390.0310129999998</v>
      </c>
      <c r="H38" s="181">
        <f>H31*5/100</f>
        <v>11.571422500000335</v>
      </c>
      <c r="I38" s="181">
        <v>0</v>
      </c>
      <c r="J38" s="181">
        <f t="shared" si="0"/>
        <v>12.230993582500354</v>
      </c>
      <c r="K38" s="181">
        <f t="shared" si="1"/>
        <v>12.622385377140365</v>
      </c>
      <c r="L38" s="80">
        <f>J38/H38*100</f>
        <v>105.69999999999999</v>
      </c>
      <c r="M38" s="80">
        <f>K38/J38*100</f>
        <v>103.2</v>
      </c>
    </row>
    <row r="39" spans="1:13" ht="27.75" customHeight="1" x14ac:dyDescent="0.2">
      <c r="A39" s="343"/>
      <c r="B39" s="79">
        <v>2</v>
      </c>
      <c r="C39" s="315"/>
      <c r="D39" s="342" t="s">
        <v>40</v>
      </c>
      <c r="E39" s="342"/>
      <c r="F39" s="79">
        <v>28</v>
      </c>
      <c r="G39" s="181">
        <v>0</v>
      </c>
      <c r="H39" s="181">
        <v>0</v>
      </c>
      <c r="I39" s="181">
        <v>0</v>
      </c>
      <c r="J39" s="181">
        <f t="shared" si="0"/>
        <v>0</v>
      </c>
      <c r="K39" s="181">
        <f t="shared" si="1"/>
        <v>0</v>
      </c>
      <c r="L39" s="80">
        <v>0</v>
      </c>
      <c r="M39" s="80">
        <v>0</v>
      </c>
    </row>
    <row r="40" spans="1:13" ht="15.75" customHeight="1" x14ac:dyDescent="0.2">
      <c r="A40" s="343"/>
      <c r="B40" s="79">
        <v>3</v>
      </c>
      <c r="C40" s="315"/>
      <c r="D40" s="342" t="s">
        <v>41</v>
      </c>
      <c r="E40" s="342"/>
      <c r="F40" s="79">
        <v>29</v>
      </c>
      <c r="G40" s="181">
        <v>0</v>
      </c>
      <c r="H40" s="181">
        <v>0</v>
      </c>
      <c r="I40" s="181">
        <v>0</v>
      </c>
      <c r="J40" s="181">
        <f t="shared" si="0"/>
        <v>0</v>
      </c>
      <c r="K40" s="181">
        <f t="shared" si="1"/>
        <v>0</v>
      </c>
      <c r="L40" s="80">
        <v>0</v>
      </c>
      <c r="M40" s="80">
        <v>0</v>
      </c>
    </row>
    <row r="41" spans="1:13" ht="88.5" customHeight="1" x14ac:dyDescent="0.2">
      <c r="A41" s="343"/>
      <c r="B41" s="79">
        <v>4</v>
      </c>
      <c r="C41" s="315"/>
      <c r="D41" s="341" t="s">
        <v>42</v>
      </c>
      <c r="E41" s="341"/>
      <c r="F41" s="79">
        <v>30</v>
      </c>
      <c r="G41" s="181">
        <v>0</v>
      </c>
      <c r="H41" s="181">
        <v>0</v>
      </c>
      <c r="I41" s="181">
        <v>0</v>
      </c>
      <c r="J41" s="181">
        <f t="shared" si="0"/>
        <v>0</v>
      </c>
      <c r="K41" s="181">
        <f t="shared" si="1"/>
        <v>0</v>
      </c>
      <c r="L41" s="80">
        <v>0</v>
      </c>
      <c r="M41" s="80">
        <v>0</v>
      </c>
    </row>
    <row r="42" spans="1:13" ht="16.5" customHeight="1" x14ac:dyDescent="0.2">
      <c r="A42" s="343"/>
      <c r="B42" s="79">
        <v>5</v>
      </c>
      <c r="C42" s="315"/>
      <c r="D42" s="338" t="s">
        <v>43</v>
      </c>
      <c r="E42" s="338"/>
      <c r="F42" s="79">
        <v>31</v>
      </c>
      <c r="G42" s="181">
        <v>0</v>
      </c>
      <c r="H42" s="181">
        <v>0</v>
      </c>
      <c r="I42" s="181">
        <v>0</v>
      </c>
      <c r="J42" s="181">
        <f t="shared" si="0"/>
        <v>0</v>
      </c>
      <c r="K42" s="181">
        <f t="shared" si="1"/>
        <v>0</v>
      </c>
      <c r="L42" s="80">
        <v>0</v>
      </c>
      <c r="M42" s="80">
        <v>0</v>
      </c>
    </row>
    <row r="43" spans="1:13" ht="35.25" customHeight="1" x14ac:dyDescent="0.2">
      <c r="A43" s="343"/>
      <c r="B43" s="79">
        <v>6</v>
      </c>
      <c r="C43" s="315"/>
      <c r="D43" s="345" t="s">
        <v>326</v>
      </c>
      <c r="E43" s="345"/>
      <c r="F43" s="79">
        <v>32</v>
      </c>
      <c r="G43" s="181">
        <f>G37-G38-G39-G40-G41-G42</f>
        <v>6337.1292469999962</v>
      </c>
      <c r="H43" s="181">
        <f>H37-H38-H39-H40-H41-H42</f>
        <v>182.82847550000531</v>
      </c>
      <c r="I43" s="181">
        <f>H43/G43*100</f>
        <v>2.8850362423420117</v>
      </c>
      <c r="J43" s="181">
        <f t="shared" si="0"/>
        <v>193.24969860350561</v>
      </c>
      <c r="K43" s="181">
        <f t="shared" si="1"/>
        <v>199.43368895881778</v>
      </c>
      <c r="L43" s="80">
        <f>J43/H43*100</f>
        <v>105.69999999999999</v>
      </c>
      <c r="M43" s="80">
        <f>K43/J43*100</f>
        <v>103.2</v>
      </c>
    </row>
    <row r="44" spans="1:13" ht="60.75" customHeight="1" x14ac:dyDescent="0.2">
      <c r="A44" s="343"/>
      <c r="B44" s="79">
        <v>7</v>
      </c>
      <c r="C44" s="315"/>
      <c r="D44" s="341" t="s">
        <v>44</v>
      </c>
      <c r="E44" s="341"/>
      <c r="F44" s="79">
        <v>33</v>
      </c>
      <c r="G44" s="181">
        <f>G43*0.1</f>
        <v>633.71292469999969</v>
      </c>
      <c r="H44" s="181">
        <f>H43*0.1</f>
        <v>18.282847550000533</v>
      </c>
      <c r="I44" s="181">
        <f>H44/G44*100</f>
        <v>2.8850362423420117</v>
      </c>
      <c r="J44" s="181">
        <f t="shared" si="0"/>
        <v>19.324969860350564</v>
      </c>
      <c r="K44" s="181">
        <f t="shared" si="1"/>
        <v>19.943368895881783</v>
      </c>
      <c r="L44" s="80">
        <f>J44/H44*100</f>
        <v>105.69999999999999</v>
      </c>
      <c r="M44" s="80">
        <f>K44/J44*100</f>
        <v>103.2</v>
      </c>
    </row>
    <row r="45" spans="1:13" ht="72.75" customHeight="1" x14ac:dyDescent="0.2">
      <c r="A45" s="343"/>
      <c r="B45" s="79">
        <v>8</v>
      </c>
      <c r="C45" s="315"/>
      <c r="D45" s="341" t="s">
        <v>45</v>
      </c>
      <c r="E45" s="341"/>
      <c r="F45" s="79">
        <v>34</v>
      </c>
      <c r="G45" s="181">
        <f>G46+G47+G48</f>
        <v>3168.5646234999981</v>
      </c>
      <c r="H45" s="181">
        <v>0</v>
      </c>
      <c r="I45" s="181">
        <v>0</v>
      </c>
      <c r="J45" s="181">
        <f t="shared" si="0"/>
        <v>0</v>
      </c>
      <c r="K45" s="181">
        <f t="shared" si="1"/>
        <v>0</v>
      </c>
      <c r="L45" s="80">
        <v>0</v>
      </c>
      <c r="M45" s="80">
        <v>0</v>
      </c>
    </row>
    <row r="46" spans="1:13" ht="16.899999999999999" customHeight="1" x14ac:dyDescent="0.2">
      <c r="A46" s="343"/>
      <c r="B46" s="79"/>
      <c r="C46" s="315" t="s">
        <v>10</v>
      </c>
      <c r="D46" s="338" t="s">
        <v>46</v>
      </c>
      <c r="E46" s="338"/>
      <c r="F46" s="79">
        <v>35</v>
      </c>
      <c r="G46" s="181">
        <v>0</v>
      </c>
      <c r="H46" s="181">
        <v>0</v>
      </c>
      <c r="I46" s="181">
        <v>0</v>
      </c>
      <c r="J46" s="181">
        <f t="shared" si="0"/>
        <v>0</v>
      </c>
      <c r="K46" s="181">
        <f t="shared" si="1"/>
        <v>0</v>
      </c>
      <c r="L46" s="80">
        <v>0</v>
      </c>
      <c r="M46" s="80">
        <v>0</v>
      </c>
    </row>
    <row r="47" spans="1:13" ht="16.149999999999999" customHeight="1" x14ac:dyDescent="0.2">
      <c r="A47" s="343"/>
      <c r="B47" s="79"/>
      <c r="C47" s="315" t="s">
        <v>12</v>
      </c>
      <c r="D47" s="338" t="s">
        <v>47</v>
      </c>
      <c r="E47" s="338"/>
      <c r="F47" s="79">
        <v>36</v>
      </c>
      <c r="G47" s="181">
        <f>G43*0.5</f>
        <v>3168.5646234999981</v>
      </c>
      <c r="H47" s="181">
        <v>0</v>
      </c>
      <c r="I47" s="181">
        <v>0</v>
      </c>
      <c r="J47" s="181">
        <f t="shared" si="0"/>
        <v>0</v>
      </c>
      <c r="K47" s="181">
        <f t="shared" si="1"/>
        <v>0</v>
      </c>
      <c r="L47" s="80">
        <v>0</v>
      </c>
      <c r="M47" s="80">
        <v>0</v>
      </c>
    </row>
    <row r="48" spans="1:13" ht="14.45" customHeight="1" x14ac:dyDescent="0.2">
      <c r="A48" s="343"/>
      <c r="B48" s="79"/>
      <c r="C48" s="315" t="s">
        <v>48</v>
      </c>
      <c r="D48" s="338" t="s">
        <v>49</v>
      </c>
      <c r="E48" s="338"/>
      <c r="F48" s="79">
        <v>37</v>
      </c>
      <c r="G48" s="181">
        <v>0</v>
      </c>
      <c r="H48" s="181">
        <v>0</v>
      </c>
      <c r="I48" s="181">
        <v>0</v>
      </c>
      <c r="J48" s="181">
        <f t="shared" si="0"/>
        <v>0</v>
      </c>
      <c r="K48" s="181">
        <f t="shared" si="1"/>
        <v>0</v>
      </c>
      <c r="L48" s="80">
        <v>0</v>
      </c>
      <c r="M48" s="80">
        <v>0</v>
      </c>
    </row>
    <row r="49" spans="1:13" ht="47.25" customHeight="1" x14ac:dyDescent="0.2">
      <c r="A49" s="343"/>
      <c r="B49" s="79">
        <v>9</v>
      </c>
      <c r="C49" s="315"/>
      <c r="D49" s="341" t="s">
        <v>327</v>
      </c>
      <c r="E49" s="341"/>
      <c r="F49" s="79">
        <v>38</v>
      </c>
      <c r="G49" s="181">
        <f>G43-G44-G45</f>
        <v>2534.8516987999988</v>
      </c>
      <c r="H49" s="181">
        <f>H43-H44</f>
        <v>164.54562795000479</v>
      </c>
      <c r="I49" s="181">
        <f>H49/G49*100</f>
        <v>6.4913315452695253</v>
      </c>
      <c r="J49" s="181">
        <f t="shared" si="0"/>
        <v>173.92472874315504</v>
      </c>
      <c r="K49" s="181">
        <f t="shared" si="1"/>
        <v>179.49032006293601</v>
      </c>
      <c r="L49" s="80">
        <f>J49/H49*100</f>
        <v>105.69999999999999</v>
      </c>
      <c r="M49" s="80">
        <f>K49/J49*100</f>
        <v>103.2</v>
      </c>
    </row>
    <row r="50" spans="1:13" ht="20.25" customHeight="1" x14ac:dyDescent="0.2">
      <c r="A50" s="79" t="s">
        <v>50</v>
      </c>
      <c r="B50" s="79"/>
      <c r="C50" s="315"/>
      <c r="D50" s="338" t="s">
        <v>51</v>
      </c>
      <c r="E50" s="338"/>
      <c r="F50" s="79">
        <v>39</v>
      </c>
      <c r="G50" s="80">
        <v>0</v>
      </c>
      <c r="H50" s="80">
        <v>0</v>
      </c>
      <c r="I50" s="181">
        <v>0</v>
      </c>
      <c r="J50" s="181">
        <f t="shared" si="0"/>
        <v>0</v>
      </c>
      <c r="K50" s="181">
        <f t="shared" si="1"/>
        <v>0</v>
      </c>
      <c r="L50" s="80">
        <v>0</v>
      </c>
      <c r="M50" s="80">
        <v>0</v>
      </c>
    </row>
    <row r="51" spans="1:13" ht="29.25" customHeight="1" x14ac:dyDescent="0.2">
      <c r="A51" s="79" t="s">
        <v>52</v>
      </c>
      <c r="B51" s="79"/>
      <c r="C51" s="315"/>
      <c r="D51" s="338" t="s">
        <v>53</v>
      </c>
      <c r="E51" s="338"/>
      <c r="F51" s="79">
        <v>40</v>
      </c>
      <c r="G51" s="80">
        <v>0</v>
      </c>
      <c r="H51" s="80">
        <v>0</v>
      </c>
      <c r="I51" s="181">
        <v>0</v>
      </c>
      <c r="J51" s="181">
        <f t="shared" si="0"/>
        <v>0</v>
      </c>
      <c r="K51" s="181">
        <f t="shared" si="1"/>
        <v>0</v>
      </c>
      <c r="L51" s="80">
        <v>0</v>
      </c>
      <c r="M51" s="80">
        <v>0</v>
      </c>
    </row>
    <row r="52" spans="1:13" ht="15.75" customHeight="1" x14ac:dyDescent="0.2">
      <c r="A52" s="79"/>
      <c r="B52" s="79"/>
      <c r="C52" s="315" t="s">
        <v>10</v>
      </c>
      <c r="D52" s="338" t="s">
        <v>54</v>
      </c>
      <c r="E52" s="338"/>
      <c r="F52" s="79">
        <v>41</v>
      </c>
      <c r="G52" s="80">
        <v>0</v>
      </c>
      <c r="H52" s="80">
        <v>0</v>
      </c>
      <c r="I52" s="181">
        <v>0</v>
      </c>
      <c r="J52" s="181">
        <f t="shared" si="0"/>
        <v>0</v>
      </c>
      <c r="K52" s="181">
        <f t="shared" si="1"/>
        <v>0</v>
      </c>
      <c r="L52" s="80">
        <v>0</v>
      </c>
      <c r="M52" s="80">
        <v>0</v>
      </c>
    </row>
    <row r="53" spans="1:13" ht="15.75" customHeight="1" x14ac:dyDescent="0.2">
      <c r="A53" s="79"/>
      <c r="B53" s="79"/>
      <c r="C53" s="315" t="s">
        <v>12</v>
      </c>
      <c r="D53" s="338" t="s">
        <v>55</v>
      </c>
      <c r="E53" s="338"/>
      <c r="F53" s="79">
        <v>42</v>
      </c>
      <c r="G53" s="80">
        <v>0</v>
      </c>
      <c r="H53" s="80">
        <v>0</v>
      </c>
      <c r="I53" s="181">
        <v>0</v>
      </c>
      <c r="J53" s="181">
        <f t="shared" si="0"/>
        <v>0</v>
      </c>
      <c r="K53" s="181">
        <f t="shared" si="1"/>
        <v>0</v>
      </c>
      <c r="L53" s="80">
        <v>0</v>
      </c>
      <c r="M53" s="80">
        <v>0</v>
      </c>
    </row>
    <row r="54" spans="1:13" ht="15.75" customHeight="1" x14ac:dyDescent="0.2">
      <c r="A54" s="79"/>
      <c r="B54" s="79"/>
      <c r="C54" s="315" t="s">
        <v>48</v>
      </c>
      <c r="D54" s="338" t="s">
        <v>56</v>
      </c>
      <c r="E54" s="338"/>
      <c r="F54" s="79">
        <v>43</v>
      </c>
      <c r="G54" s="80">
        <v>0</v>
      </c>
      <c r="H54" s="80">
        <v>0</v>
      </c>
      <c r="I54" s="181">
        <v>0</v>
      </c>
      <c r="J54" s="181">
        <f t="shared" si="0"/>
        <v>0</v>
      </c>
      <c r="K54" s="181">
        <f t="shared" si="1"/>
        <v>0</v>
      </c>
      <c r="L54" s="80">
        <v>0</v>
      </c>
      <c r="M54" s="80">
        <v>0</v>
      </c>
    </row>
    <row r="55" spans="1:13" ht="15.75" customHeight="1" x14ac:dyDescent="0.2">
      <c r="A55" s="79"/>
      <c r="B55" s="79"/>
      <c r="C55" s="315" t="s">
        <v>57</v>
      </c>
      <c r="D55" s="338" t="s">
        <v>58</v>
      </c>
      <c r="E55" s="338"/>
      <c r="F55" s="79">
        <v>44</v>
      </c>
      <c r="G55" s="80">
        <v>0</v>
      </c>
      <c r="H55" s="80">
        <v>0</v>
      </c>
      <c r="I55" s="181">
        <v>0</v>
      </c>
      <c r="J55" s="181">
        <f t="shared" si="0"/>
        <v>0</v>
      </c>
      <c r="K55" s="181">
        <f t="shared" si="1"/>
        <v>0</v>
      </c>
      <c r="L55" s="80">
        <v>0</v>
      </c>
      <c r="M55" s="80">
        <v>0</v>
      </c>
    </row>
    <row r="56" spans="1:13" ht="15.75" customHeight="1" x14ac:dyDescent="0.2">
      <c r="A56" s="79"/>
      <c r="B56" s="79"/>
      <c r="C56" s="315" t="s">
        <v>59</v>
      </c>
      <c r="D56" s="338" t="s">
        <v>60</v>
      </c>
      <c r="E56" s="338"/>
      <c r="F56" s="79">
        <v>45</v>
      </c>
      <c r="G56" s="80">
        <v>0</v>
      </c>
      <c r="H56" s="80">
        <v>0</v>
      </c>
      <c r="I56" s="181">
        <v>0</v>
      </c>
      <c r="J56" s="181">
        <f t="shared" si="0"/>
        <v>0</v>
      </c>
      <c r="K56" s="181">
        <f t="shared" si="1"/>
        <v>0</v>
      </c>
      <c r="L56" s="80">
        <v>0</v>
      </c>
      <c r="M56" s="80">
        <v>0</v>
      </c>
    </row>
    <row r="57" spans="1:13" ht="17.25" customHeight="1" x14ac:dyDescent="0.2">
      <c r="A57" s="79" t="s">
        <v>61</v>
      </c>
      <c r="B57" s="79"/>
      <c r="C57" s="315"/>
      <c r="D57" s="338" t="s">
        <v>62</v>
      </c>
      <c r="E57" s="338"/>
      <c r="F57" s="79">
        <v>46</v>
      </c>
      <c r="G57" s="80">
        <f>'Anexa 4 INV'!F13</f>
        <v>240032.35634</v>
      </c>
      <c r="H57" s="80">
        <f>'Anexa 4 INV'!G13</f>
        <v>858863.05599999998</v>
      </c>
      <c r="I57" s="181">
        <f>H57/G57*100</f>
        <v>357.81136722394263</v>
      </c>
      <c r="J57" s="181">
        <f>'Anexa 4 INV'!H13</f>
        <v>74544</v>
      </c>
      <c r="K57" s="181">
        <f>'Anexa 4 INV'!I13</f>
        <v>71393</v>
      </c>
      <c r="L57" s="80">
        <f>J57/H57*100</f>
        <v>8.6793813611188799</v>
      </c>
      <c r="M57" s="80">
        <f>K57/J57*100</f>
        <v>95.772966301781508</v>
      </c>
    </row>
    <row r="58" spans="1:13" ht="15.75" customHeight="1" x14ac:dyDescent="0.2">
      <c r="A58" s="79"/>
      <c r="B58" s="79">
        <v>1</v>
      </c>
      <c r="C58" s="315"/>
      <c r="D58" s="342" t="s">
        <v>63</v>
      </c>
      <c r="E58" s="342"/>
      <c r="F58" s="79">
        <v>47</v>
      </c>
      <c r="G58" s="80">
        <v>0</v>
      </c>
      <c r="H58" s="80">
        <v>0</v>
      </c>
      <c r="I58" s="181">
        <v>0</v>
      </c>
      <c r="J58" s="181">
        <f>H58</f>
        <v>0</v>
      </c>
      <c r="K58" s="181">
        <f>H58</f>
        <v>0</v>
      </c>
      <c r="L58" s="80">
        <v>0</v>
      </c>
      <c r="M58" s="80">
        <v>0</v>
      </c>
    </row>
    <row r="59" spans="1:13" ht="29.25" customHeight="1" x14ac:dyDescent="0.2">
      <c r="A59" s="79"/>
      <c r="B59" s="79"/>
      <c r="C59" s="315"/>
      <c r="D59" s="82"/>
      <c r="E59" s="82" t="s">
        <v>64</v>
      </c>
      <c r="F59" s="79">
        <v>48</v>
      </c>
      <c r="G59" s="80">
        <v>0</v>
      </c>
      <c r="H59" s="80">
        <v>0</v>
      </c>
      <c r="I59" s="181">
        <v>0</v>
      </c>
      <c r="J59" s="181">
        <f>H59</f>
        <v>0</v>
      </c>
      <c r="K59" s="181">
        <f>H59</f>
        <v>0</v>
      </c>
      <c r="L59" s="80">
        <v>0</v>
      </c>
      <c r="M59" s="80">
        <v>0</v>
      </c>
    </row>
    <row r="60" spans="1:13" ht="15.75" customHeight="1" x14ac:dyDescent="0.2">
      <c r="A60" s="79" t="s">
        <v>65</v>
      </c>
      <c r="B60" s="79"/>
      <c r="C60" s="315"/>
      <c r="D60" s="338" t="s">
        <v>66</v>
      </c>
      <c r="E60" s="338"/>
      <c r="F60" s="79">
        <v>49</v>
      </c>
      <c r="G60" s="80">
        <f>'Anexa 4 INV'!F26</f>
        <v>183246.77085</v>
      </c>
      <c r="H60" s="80">
        <f>'Anexa 4 INV'!G26</f>
        <v>819284.95991500001</v>
      </c>
      <c r="I60" s="181">
        <f>H60/G60*100</f>
        <v>447.09380477194918</v>
      </c>
      <c r="J60" s="80">
        <f>'Anexa 4 INV'!H26</f>
        <v>33705.418724999996</v>
      </c>
      <c r="K60" s="80">
        <f>'Anexa 4 INV'!I26</f>
        <v>30321.732534999999</v>
      </c>
      <c r="L60" s="80">
        <f>J60/H60*100</f>
        <v>4.1140043298850379</v>
      </c>
      <c r="M60" s="80">
        <f>K60/J60*100</f>
        <v>89.961002361052849</v>
      </c>
    </row>
    <row r="61" spans="1:13" ht="15" customHeight="1" x14ac:dyDescent="0.2">
      <c r="A61" s="79" t="s">
        <v>67</v>
      </c>
      <c r="B61" s="79"/>
      <c r="C61" s="315"/>
      <c r="D61" s="338" t="s">
        <v>68</v>
      </c>
      <c r="E61" s="338"/>
      <c r="F61" s="79"/>
      <c r="G61" s="306">
        <v>0</v>
      </c>
      <c r="H61" s="306">
        <v>0</v>
      </c>
      <c r="I61" s="186">
        <v>0</v>
      </c>
      <c r="J61" s="186">
        <f>H61</f>
        <v>0</v>
      </c>
      <c r="K61" s="186">
        <f>H61</f>
        <v>0</v>
      </c>
      <c r="L61" s="80">
        <v>0</v>
      </c>
      <c r="M61" s="80">
        <v>0</v>
      </c>
    </row>
    <row r="62" spans="1:13" ht="15.6" customHeight="1" x14ac:dyDescent="0.2">
      <c r="A62" s="343"/>
      <c r="B62" s="79">
        <v>1</v>
      </c>
      <c r="C62" s="315"/>
      <c r="D62" s="338" t="s">
        <v>69</v>
      </c>
      <c r="E62" s="338"/>
      <c r="F62" s="79">
        <v>50</v>
      </c>
      <c r="G62" s="186">
        <f>'BVC 2023 analitic (A2)'!J164</f>
        <v>432</v>
      </c>
      <c r="H62" s="186">
        <f>'BVC 2023 analitic (A2)'!N164</f>
        <v>455</v>
      </c>
      <c r="I62" s="186">
        <f t="shared" ref="I62:I67" si="8">H62/G62*100</f>
        <v>105.32407407407408</v>
      </c>
      <c r="J62" s="186">
        <f>H62</f>
        <v>455</v>
      </c>
      <c r="K62" s="186">
        <f>H62</f>
        <v>455</v>
      </c>
      <c r="L62" s="80">
        <f t="shared" ref="L62:L67" si="9">J62/H62*100</f>
        <v>100</v>
      </c>
      <c r="M62" s="80">
        <f t="shared" ref="M62:M67" si="10">K62/J62*100</f>
        <v>100</v>
      </c>
    </row>
    <row r="63" spans="1:13" ht="15.75" customHeight="1" x14ac:dyDescent="0.2">
      <c r="A63" s="343"/>
      <c r="B63" s="79">
        <v>2</v>
      </c>
      <c r="C63" s="315"/>
      <c r="D63" s="338" t="s">
        <v>70</v>
      </c>
      <c r="E63" s="338"/>
      <c r="F63" s="79">
        <v>51</v>
      </c>
      <c r="G63" s="186">
        <f>'BVC 2023 analitic (A2)'!J165</f>
        <v>421</v>
      </c>
      <c r="H63" s="186">
        <f>'BVC 2023 analitic (A2)'!N165</f>
        <v>428</v>
      </c>
      <c r="I63" s="186">
        <f t="shared" si="8"/>
        <v>101.66270783847982</v>
      </c>
      <c r="J63" s="186">
        <f>H63</f>
        <v>428</v>
      </c>
      <c r="K63" s="186">
        <f>H63</f>
        <v>428</v>
      </c>
      <c r="L63" s="80">
        <f t="shared" si="9"/>
        <v>100</v>
      </c>
      <c r="M63" s="80">
        <f t="shared" si="10"/>
        <v>100</v>
      </c>
    </row>
    <row r="64" spans="1:13" ht="42.75" customHeight="1" x14ac:dyDescent="0.2">
      <c r="A64" s="343"/>
      <c r="B64" s="79">
        <v>3</v>
      </c>
      <c r="C64" s="315"/>
      <c r="D64" s="344" t="s">
        <v>374</v>
      </c>
      <c r="E64" s="344"/>
      <c r="F64" s="79">
        <v>52</v>
      </c>
      <c r="G64" s="181">
        <f>'BVC 2023 analitic (A2)'!J167</f>
        <v>6259.9037509897071</v>
      </c>
      <c r="H64" s="181">
        <f>'BVC 2023 analitic (A2)'!N167</f>
        <v>8426.401869158879</v>
      </c>
      <c r="I64" s="182">
        <f t="shared" si="8"/>
        <v>134.60912826058455</v>
      </c>
      <c r="J64" s="181">
        <f t="shared" ref="J64:J71" si="11">H64*1.057</f>
        <v>8906.7067757009354</v>
      </c>
      <c r="K64" s="181">
        <f t="shared" ref="K64:K71" si="12">J64*1.032</f>
        <v>9191.7213925233664</v>
      </c>
      <c r="L64" s="181">
        <f t="shared" si="9"/>
        <v>105.69999999999999</v>
      </c>
      <c r="M64" s="181">
        <f t="shared" si="10"/>
        <v>103.2</v>
      </c>
    </row>
    <row r="65" spans="1:13" ht="59.25" customHeight="1" x14ac:dyDescent="0.2">
      <c r="A65" s="343"/>
      <c r="B65" s="79">
        <v>4</v>
      </c>
      <c r="C65" s="315"/>
      <c r="D65" s="341" t="s">
        <v>375</v>
      </c>
      <c r="E65" s="341"/>
      <c r="F65" s="79">
        <v>53</v>
      </c>
      <c r="G65" s="181">
        <f>'BVC 2023 analitic (A2)'!J168</f>
        <v>6257.0423099762465</v>
      </c>
      <c r="H65" s="181">
        <f>'BVC 2023 analitic (A2)'!N168</f>
        <v>7049.5132398753904</v>
      </c>
      <c r="I65" s="182">
        <f t="shared" si="8"/>
        <v>112.66526404393376</v>
      </c>
      <c r="J65" s="181">
        <f t="shared" si="11"/>
        <v>7451.335494548287</v>
      </c>
      <c r="K65" s="181">
        <f t="shared" si="12"/>
        <v>7689.7782303738322</v>
      </c>
      <c r="L65" s="181">
        <f t="shared" si="9"/>
        <v>105.69999999999999</v>
      </c>
      <c r="M65" s="181">
        <f t="shared" si="10"/>
        <v>103.2</v>
      </c>
    </row>
    <row r="66" spans="1:13" ht="30" customHeight="1" x14ac:dyDescent="0.2">
      <c r="A66" s="343"/>
      <c r="B66" s="79">
        <v>5</v>
      </c>
      <c r="C66" s="315"/>
      <c r="D66" s="341" t="s">
        <v>328</v>
      </c>
      <c r="E66" s="341"/>
      <c r="F66" s="79">
        <v>54</v>
      </c>
      <c r="G66" s="212">
        <f>G13/G63</f>
        <v>201.30282313539195</v>
      </c>
      <c r="H66" s="181">
        <f>H13/H63</f>
        <v>265.44392523364485</v>
      </c>
      <c r="I66" s="182">
        <f>H66/G66*100</f>
        <v>131.86299183450248</v>
      </c>
      <c r="J66" s="181">
        <f t="shared" si="11"/>
        <v>280.57422897196261</v>
      </c>
      <c r="K66" s="181">
        <f t="shared" si="12"/>
        <v>289.55260429906542</v>
      </c>
      <c r="L66" s="181">
        <f t="shared" si="9"/>
        <v>105.69999999999999</v>
      </c>
      <c r="M66" s="181">
        <f t="shared" si="10"/>
        <v>103.2</v>
      </c>
    </row>
    <row r="67" spans="1:13" ht="45" customHeight="1" x14ac:dyDescent="0.2">
      <c r="A67" s="343"/>
      <c r="B67" s="79">
        <v>6</v>
      </c>
      <c r="C67" s="315"/>
      <c r="D67" s="341" t="s">
        <v>71</v>
      </c>
      <c r="E67" s="341"/>
      <c r="F67" s="79">
        <v>55</v>
      </c>
      <c r="G67" s="181">
        <f>'BVC 2023 analitic (A2)'!J170</f>
        <v>201.30282313539195</v>
      </c>
      <c r="H67" s="181">
        <f>H66</f>
        <v>265.44392523364485</v>
      </c>
      <c r="I67" s="182">
        <f t="shared" si="8"/>
        <v>131.86299183450248</v>
      </c>
      <c r="J67" s="181">
        <f t="shared" si="11"/>
        <v>280.57422897196261</v>
      </c>
      <c r="K67" s="181">
        <f t="shared" si="12"/>
        <v>289.55260429906542</v>
      </c>
      <c r="L67" s="80">
        <f t="shared" si="9"/>
        <v>105.69999999999999</v>
      </c>
      <c r="M67" s="80">
        <f t="shared" si="10"/>
        <v>103.2</v>
      </c>
    </row>
    <row r="68" spans="1:13" ht="29.25" customHeight="1" x14ac:dyDescent="0.2">
      <c r="A68" s="343"/>
      <c r="B68" s="79">
        <v>7</v>
      </c>
      <c r="C68" s="315"/>
      <c r="D68" s="341" t="s">
        <v>72</v>
      </c>
      <c r="E68" s="341"/>
      <c r="F68" s="79">
        <v>56</v>
      </c>
      <c r="G68" s="181">
        <v>0</v>
      </c>
      <c r="H68" s="181">
        <v>0</v>
      </c>
      <c r="I68" s="181">
        <v>0</v>
      </c>
      <c r="J68" s="181">
        <f t="shared" si="11"/>
        <v>0</v>
      </c>
      <c r="K68" s="181">
        <f t="shared" si="12"/>
        <v>0</v>
      </c>
      <c r="L68" s="80">
        <v>0</v>
      </c>
      <c r="M68" s="80">
        <v>0</v>
      </c>
    </row>
    <row r="69" spans="1:13" ht="28.5" customHeight="1" x14ac:dyDescent="0.2">
      <c r="A69" s="343"/>
      <c r="B69" s="79">
        <v>8</v>
      </c>
      <c r="C69" s="315"/>
      <c r="D69" s="341" t="s">
        <v>329</v>
      </c>
      <c r="E69" s="341"/>
      <c r="F69" s="79">
        <v>57</v>
      </c>
      <c r="G69" s="181">
        <f>G17/G12*1000</f>
        <v>910.18571306186334</v>
      </c>
      <c r="H69" s="181">
        <f>H17/H12*1000</f>
        <v>997.97010393825087</v>
      </c>
      <c r="I69" s="181">
        <f>H69/G69*100</f>
        <v>109.64466807340681</v>
      </c>
      <c r="J69" s="181">
        <f t="shared" ref="J69:K69" si="13">J17/J12*1000</f>
        <v>997.97010393825087</v>
      </c>
      <c r="K69" s="181">
        <f t="shared" si="13"/>
        <v>997.97010393825099</v>
      </c>
      <c r="L69" s="80">
        <f>J69/H69*100</f>
        <v>100</v>
      </c>
      <c r="M69" s="80">
        <f>K69/J69*100</f>
        <v>100.00000000000003</v>
      </c>
    </row>
    <row r="70" spans="1:13" ht="15.75" customHeight="1" x14ac:dyDescent="0.2">
      <c r="A70" s="343"/>
      <c r="B70" s="79">
        <v>9</v>
      </c>
      <c r="C70" s="315"/>
      <c r="D70" s="338" t="s">
        <v>73</v>
      </c>
      <c r="E70" s="338"/>
      <c r="F70" s="79">
        <v>58</v>
      </c>
      <c r="G70" s="80">
        <f>'BVC 2023 analitic (A2)'!J177</f>
        <v>0</v>
      </c>
      <c r="H70" s="80">
        <f>'BVC 2023 analitic (A2)'!N177</f>
        <v>0</v>
      </c>
      <c r="I70" s="181">
        <v>0</v>
      </c>
      <c r="J70" s="181">
        <f t="shared" si="11"/>
        <v>0</v>
      </c>
      <c r="K70" s="181">
        <f t="shared" si="12"/>
        <v>0</v>
      </c>
      <c r="L70" s="80">
        <v>0</v>
      </c>
      <c r="M70" s="80">
        <v>0</v>
      </c>
    </row>
    <row r="71" spans="1:13" ht="15.75" customHeight="1" x14ac:dyDescent="0.2">
      <c r="A71" s="343"/>
      <c r="B71" s="79">
        <v>10</v>
      </c>
      <c r="C71" s="315"/>
      <c r="D71" s="338" t="s">
        <v>74</v>
      </c>
      <c r="E71" s="338"/>
      <c r="F71" s="79">
        <v>59</v>
      </c>
      <c r="G71" s="80">
        <f>'BVC 2023 analitic (A2)'!J178</f>
        <v>7769.1654200000003</v>
      </c>
      <c r="H71" s="80">
        <f>'BVC 2023 analitic (A2)'!N178</f>
        <v>10488.373317000001</v>
      </c>
      <c r="I71" s="181">
        <v>0</v>
      </c>
      <c r="J71" s="181">
        <f t="shared" si="11"/>
        <v>11086.210596069001</v>
      </c>
      <c r="K71" s="181">
        <f t="shared" si="12"/>
        <v>11440.969335143209</v>
      </c>
      <c r="L71" s="80">
        <f>J71/H71*100</f>
        <v>105.69999999999999</v>
      </c>
      <c r="M71" s="80">
        <f>K71/J71*100</f>
        <v>103.2</v>
      </c>
    </row>
    <row r="72" spans="1:13" ht="15.75" customHeight="1" x14ac:dyDescent="0.2">
      <c r="A72" s="63"/>
      <c r="B72" s="64"/>
      <c r="C72" s="65"/>
      <c r="D72" s="63"/>
      <c r="E72" s="63"/>
      <c r="F72" s="66"/>
      <c r="G72" s="67"/>
      <c r="H72" s="67"/>
      <c r="I72" s="68"/>
      <c r="J72" s="68"/>
      <c r="K72" s="68"/>
      <c r="L72" s="69"/>
      <c r="M72" s="69"/>
    </row>
    <row r="73" spans="1:13" x14ac:dyDescent="0.2">
      <c r="A73" s="70"/>
      <c r="B73" s="70"/>
      <c r="C73" s="71"/>
      <c r="D73" s="70"/>
      <c r="E73" s="72"/>
      <c r="F73" s="73"/>
      <c r="G73" s="73"/>
      <c r="H73" s="74"/>
      <c r="I73" s="74"/>
      <c r="J73" s="73"/>
      <c r="K73" s="74"/>
      <c r="L73" s="74"/>
      <c r="M73" s="74"/>
    </row>
    <row r="74" spans="1:13" ht="15.75" customHeight="1" x14ac:dyDescent="0.25">
      <c r="A74" s="70"/>
      <c r="B74" s="75"/>
      <c r="C74" s="75"/>
      <c r="D74" s="75"/>
      <c r="E74" s="205" t="s">
        <v>75</v>
      </c>
      <c r="F74" s="205" t="s">
        <v>76</v>
      </c>
      <c r="G74" s="84"/>
      <c r="H74" s="74"/>
      <c r="I74" s="74"/>
      <c r="J74" s="75"/>
      <c r="K74" s="75"/>
      <c r="L74" s="75"/>
      <c r="M74" s="74"/>
    </row>
    <row r="75" spans="1:13" ht="15" x14ac:dyDescent="0.25">
      <c r="A75" s="70"/>
      <c r="B75" s="75"/>
      <c r="C75" s="75"/>
      <c r="D75" s="75"/>
      <c r="E75" s="205" t="s">
        <v>77</v>
      </c>
      <c r="F75" s="117" t="s">
        <v>308</v>
      </c>
      <c r="G75" s="205"/>
      <c r="H75" s="74"/>
      <c r="I75" s="74"/>
      <c r="J75" s="76"/>
      <c r="K75" s="76"/>
      <c r="L75" s="76"/>
      <c r="M75" s="74"/>
    </row>
    <row r="78" spans="1:13" x14ac:dyDescent="0.2">
      <c r="E78" s="442" t="s">
        <v>522</v>
      </c>
      <c r="G78" s="443" t="s">
        <v>523</v>
      </c>
    </row>
  </sheetData>
  <sheetProtection selectLockedCells="1" selectUnlockedCells="1"/>
  <mergeCells count="69">
    <mergeCell ref="A6:M6"/>
    <mergeCell ref="A9:C10"/>
    <mergeCell ref="D9:E10"/>
    <mergeCell ref="F9:F10"/>
    <mergeCell ref="G9:G10"/>
    <mergeCell ref="H9:H10"/>
    <mergeCell ref="I9:I10"/>
    <mergeCell ref="J9:J10"/>
    <mergeCell ref="K9:K10"/>
    <mergeCell ref="L9:M9"/>
    <mergeCell ref="B11:C11"/>
    <mergeCell ref="D11:E11"/>
    <mergeCell ref="D12:E12"/>
    <mergeCell ref="A13:A16"/>
    <mergeCell ref="D13:E13"/>
    <mergeCell ref="D16:E16"/>
    <mergeCell ref="D17:E17"/>
    <mergeCell ref="A18:A30"/>
    <mergeCell ref="D18:E18"/>
    <mergeCell ref="B19:B29"/>
    <mergeCell ref="D19:E19"/>
    <mergeCell ref="D20:E20"/>
    <mergeCell ref="D21:E21"/>
    <mergeCell ref="D29:E29"/>
    <mergeCell ref="D30:E30"/>
    <mergeCell ref="D31:E31"/>
    <mergeCell ref="D32:E32"/>
    <mergeCell ref="D37:E37"/>
    <mergeCell ref="D33:E33"/>
    <mergeCell ref="D34:E34"/>
    <mergeCell ref="D35:E35"/>
    <mergeCell ref="D36:E36"/>
    <mergeCell ref="D51:E51"/>
    <mergeCell ref="D52:E52"/>
    <mergeCell ref="A38:A49"/>
    <mergeCell ref="D38:E38"/>
    <mergeCell ref="D39:E39"/>
    <mergeCell ref="D40:E40"/>
    <mergeCell ref="D41:E41"/>
    <mergeCell ref="D42:E42"/>
    <mergeCell ref="D43:E43"/>
    <mergeCell ref="D44:E44"/>
    <mergeCell ref="D45:E45"/>
    <mergeCell ref="D46:E46"/>
    <mergeCell ref="A62:A71"/>
    <mergeCell ref="D62:E62"/>
    <mergeCell ref="D63:E63"/>
    <mergeCell ref="D64:E64"/>
    <mergeCell ref="D65:E65"/>
    <mergeCell ref="D71:E71"/>
    <mergeCell ref="D70:E70"/>
    <mergeCell ref="D69:E69"/>
    <mergeCell ref="D68:E68"/>
    <mergeCell ref="D61:E61"/>
    <mergeCell ref="G8:H8"/>
    <mergeCell ref="G1:J4"/>
    <mergeCell ref="D66:E66"/>
    <mergeCell ref="D67:E67"/>
    <mergeCell ref="D47:E47"/>
    <mergeCell ref="D48:E48"/>
    <mergeCell ref="D49:E49"/>
    <mergeCell ref="D50:E50"/>
    <mergeCell ref="D56:E56"/>
    <mergeCell ref="D57:E57"/>
    <mergeCell ref="D58:E58"/>
    <mergeCell ref="D60:E60"/>
    <mergeCell ref="D53:E53"/>
    <mergeCell ref="D54:E54"/>
    <mergeCell ref="D55:E55"/>
  </mergeCells>
  <printOptions horizontalCentered="1"/>
  <pageMargins left="0.14374999999999999" right="6.5277777777777796E-2" top="0.31527777777777799" bottom="0.54027777777777797" header="0.51180555555555596" footer="0.31527777777777799"/>
  <pageSetup paperSize="9" scale="80" firstPageNumber="0" fitToHeight="0" orientation="portrait" cellComments="asDisplayed" r:id="rId1"/>
  <headerFooter alignWithMargins="0">
    <oddFooter>&amp;CPagina &amp;P din &amp;N</oddFooter>
  </headerFooter>
  <ignoredErrors>
    <ignoredError sqref="I66:I67 I69 I49 I43 I37 I3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31"/>
    <pageSetUpPr fitToPage="1"/>
  </sheetPr>
  <dimension ref="A1:AB470"/>
  <sheetViews>
    <sheetView topLeftCell="A183" zoomScale="115" zoomScaleNormal="115" workbookViewId="0">
      <selection activeCell="H196" sqref="H196"/>
    </sheetView>
  </sheetViews>
  <sheetFormatPr defaultRowHeight="12.75" x14ac:dyDescent="0.2"/>
  <cols>
    <col min="1" max="1" width="4" style="21" customWidth="1"/>
    <col min="2" max="2" width="3.42578125" style="21" bestFit="1" customWidth="1"/>
    <col min="3" max="3" width="4.42578125" style="21" customWidth="1"/>
    <col min="4" max="4" width="5.140625" style="336" customWidth="1"/>
    <col min="5" max="5" width="51.140625" style="337" customWidth="1"/>
    <col min="6" max="6" width="5" style="21" customWidth="1"/>
    <col min="7" max="7" width="8" style="22" bestFit="1" customWidth="1"/>
    <col min="8" max="8" width="8" style="23" customWidth="1"/>
    <col min="9" max="9" width="7.85546875" style="24" bestFit="1" customWidth="1"/>
    <col min="10" max="10" width="10.28515625" style="26" customWidth="1"/>
    <col min="11" max="11" width="7.85546875" style="24" customWidth="1"/>
    <col min="12" max="12" width="9.28515625" style="24" customWidth="1"/>
    <col min="13" max="13" width="9" style="24" customWidth="1"/>
    <col min="14" max="14" width="8.85546875" style="24" bestFit="1" customWidth="1"/>
    <col min="15" max="15" width="8" style="25" bestFit="1" customWidth="1"/>
    <col min="16" max="16" width="8" style="24" customWidth="1"/>
    <col min="17" max="17" width="13.7109375" style="26" customWidth="1"/>
    <col min="18" max="18" width="12.5703125" style="26" bestFit="1" customWidth="1"/>
    <col min="19" max="16384" width="9.140625" style="26"/>
  </cols>
  <sheetData>
    <row r="1" spans="1:20" s="5" customFormat="1" ht="15.75" x14ac:dyDescent="0.25">
      <c r="A1" s="378"/>
      <c r="B1" s="378"/>
      <c r="C1" s="378"/>
      <c r="D1" s="378"/>
      <c r="E1" s="378"/>
      <c r="F1" s="378"/>
      <c r="G1" s="8"/>
      <c r="H1" s="27"/>
      <c r="I1" s="6"/>
      <c r="K1" s="4"/>
      <c r="L1" s="4"/>
      <c r="M1" s="28"/>
      <c r="N1" s="4"/>
      <c r="O1" s="29"/>
    </row>
    <row r="2" spans="1:20" s="5" customFormat="1" ht="12.75" customHeight="1" x14ac:dyDescent="0.2">
      <c r="A2" s="378"/>
      <c r="B2" s="378"/>
      <c r="C2" s="378"/>
      <c r="D2" s="378"/>
      <c r="E2" s="378"/>
      <c r="F2" s="30"/>
      <c r="G2" s="7"/>
      <c r="H2" s="340" t="s">
        <v>386</v>
      </c>
      <c r="I2" s="340"/>
      <c r="J2" s="340"/>
      <c r="K2" s="340"/>
      <c r="L2" s="340"/>
      <c r="M2" s="4"/>
      <c r="N2" s="4"/>
      <c r="O2" s="29"/>
    </row>
    <row r="3" spans="1:20" s="5" customFormat="1" ht="12.75" customHeight="1" x14ac:dyDescent="0.2">
      <c r="A3" s="50"/>
      <c r="B3" s="50"/>
      <c r="C3" s="50"/>
      <c r="D3" s="322"/>
      <c r="E3" s="322"/>
      <c r="F3" s="30"/>
      <c r="G3" s="7"/>
      <c r="H3" s="340"/>
      <c r="I3" s="340"/>
      <c r="J3" s="340"/>
      <c r="K3" s="340"/>
      <c r="L3" s="340"/>
      <c r="M3" s="4"/>
      <c r="N3" s="4"/>
      <c r="O3" s="29"/>
    </row>
    <row r="4" spans="1:20" s="5" customFormat="1" ht="12.75" customHeight="1" x14ac:dyDescent="0.2">
      <c r="A4" s="50"/>
      <c r="B4" s="50"/>
      <c r="C4" s="50"/>
      <c r="D4" s="322"/>
      <c r="E4" s="322"/>
      <c r="F4" s="30"/>
      <c r="G4" s="7"/>
      <c r="H4" s="340"/>
      <c r="I4" s="340"/>
      <c r="J4" s="340"/>
      <c r="K4" s="340"/>
      <c r="L4" s="340"/>
      <c r="M4" s="4"/>
      <c r="N4" s="4"/>
      <c r="O4" s="29"/>
    </row>
    <row r="5" spans="1:20" s="5" customFormat="1" ht="12.75" customHeight="1" x14ac:dyDescent="0.2">
      <c r="A5" s="378"/>
      <c r="B5" s="378"/>
      <c r="C5" s="378"/>
      <c r="D5" s="378"/>
      <c r="E5" s="378"/>
      <c r="F5" s="30"/>
      <c r="G5" s="7"/>
      <c r="H5" s="340"/>
      <c r="I5" s="340"/>
      <c r="J5" s="340"/>
      <c r="K5" s="340"/>
      <c r="L5" s="340"/>
      <c r="M5" s="4"/>
      <c r="N5" s="4"/>
      <c r="O5" s="29"/>
    </row>
    <row r="6" spans="1:20" s="5" customFormat="1" ht="15.75" x14ac:dyDescent="0.2">
      <c r="A6" s="9"/>
      <c r="B6" s="9"/>
      <c r="C6" s="9"/>
      <c r="D6" s="323"/>
      <c r="E6" s="324"/>
      <c r="F6" s="30"/>
      <c r="G6" s="7"/>
      <c r="H6" s="31"/>
      <c r="I6" s="32"/>
      <c r="J6" s="13"/>
      <c r="K6" s="379" t="s">
        <v>527</v>
      </c>
      <c r="L6" s="379"/>
      <c r="M6" s="379"/>
      <c r="N6" s="379"/>
      <c r="O6" s="379"/>
    </row>
    <row r="7" spans="1:20" ht="51" customHeight="1" x14ac:dyDescent="0.2">
      <c r="A7" s="380" t="s">
        <v>441</v>
      </c>
      <c r="B7" s="380"/>
      <c r="C7" s="380"/>
      <c r="D7" s="380"/>
      <c r="E7" s="380"/>
      <c r="F7" s="380"/>
      <c r="G7" s="380"/>
      <c r="H7" s="380"/>
      <c r="I7" s="380"/>
      <c r="J7" s="380"/>
      <c r="K7" s="380"/>
      <c r="L7" s="380"/>
      <c r="M7" s="380"/>
      <c r="N7" s="380"/>
      <c r="O7" s="380"/>
      <c r="P7" s="26"/>
    </row>
    <row r="8" spans="1:20" ht="15" x14ac:dyDescent="0.25">
      <c r="A8" s="85"/>
      <c r="B8" s="85"/>
      <c r="C8" s="85"/>
      <c r="D8" s="325"/>
      <c r="E8" s="326"/>
      <c r="F8" s="85"/>
      <c r="G8" s="91"/>
      <c r="H8" s="91"/>
      <c r="I8" s="92"/>
      <c r="J8" s="86"/>
      <c r="K8" s="87"/>
      <c r="L8" s="87"/>
      <c r="M8" s="87"/>
      <c r="N8" s="87"/>
      <c r="O8" s="88" t="s">
        <v>0</v>
      </c>
      <c r="P8" s="93"/>
    </row>
    <row r="9" spans="1:20" ht="13.15" customHeight="1" x14ac:dyDescent="0.2">
      <c r="A9" s="381"/>
      <c r="B9" s="381"/>
      <c r="C9" s="381"/>
      <c r="D9" s="382" t="s">
        <v>1</v>
      </c>
      <c r="E9" s="382"/>
      <c r="F9" s="381" t="s">
        <v>2</v>
      </c>
      <c r="G9" s="381" t="s">
        <v>442</v>
      </c>
      <c r="H9" s="381" t="s">
        <v>443</v>
      </c>
      <c r="I9" s="381"/>
      <c r="J9" s="381"/>
      <c r="K9" s="381" t="s">
        <v>447</v>
      </c>
      <c r="L9" s="381"/>
      <c r="M9" s="381"/>
      <c r="N9" s="381"/>
      <c r="O9" s="94" t="s">
        <v>4</v>
      </c>
      <c r="P9" s="95" t="s">
        <v>4</v>
      </c>
    </row>
    <row r="10" spans="1:20" ht="13.15" customHeight="1" x14ac:dyDescent="0.2">
      <c r="A10" s="381"/>
      <c r="B10" s="381"/>
      <c r="C10" s="381"/>
      <c r="D10" s="382"/>
      <c r="E10" s="382"/>
      <c r="F10" s="381"/>
      <c r="G10" s="381"/>
      <c r="H10" s="383" t="s">
        <v>78</v>
      </c>
      <c r="I10" s="383"/>
      <c r="J10" s="381" t="s">
        <v>446</v>
      </c>
      <c r="K10" s="384" t="s">
        <v>79</v>
      </c>
      <c r="L10" s="384"/>
      <c r="M10" s="384"/>
      <c r="N10" s="384"/>
      <c r="O10" s="385" t="s">
        <v>80</v>
      </c>
      <c r="P10" s="386" t="s">
        <v>81</v>
      </c>
    </row>
    <row r="11" spans="1:20" ht="24.75" customHeight="1" x14ac:dyDescent="0.2">
      <c r="A11" s="381"/>
      <c r="B11" s="381"/>
      <c r="C11" s="381"/>
      <c r="D11" s="382"/>
      <c r="E11" s="382"/>
      <c r="F11" s="381"/>
      <c r="G11" s="381"/>
      <c r="H11" s="189" t="s">
        <v>444</v>
      </c>
      <c r="I11" s="189" t="s">
        <v>445</v>
      </c>
      <c r="J11" s="381"/>
      <c r="K11" s="90" t="s">
        <v>82</v>
      </c>
      <c r="L11" s="96" t="s">
        <v>83</v>
      </c>
      <c r="M11" s="90" t="s">
        <v>84</v>
      </c>
      <c r="N11" s="97" t="s">
        <v>85</v>
      </c>
      <c r="O11" s="385"/>
      <c r="P11" s="386"/>
    </row>
    <row r="12" spans="1:20" ht="15" x14ac:dyDescent="0.25">
      <c r="A12" s="95">
        <v>0</v>
      </c>
      <c r="B12" s="363">
        <v>1</v>
      </c>
      <c r="C12" s="363"/>
      <c r="D12" s="387">
        <v>2</v>
      </c>
      <c r="E12" s="387"/>
      <c r="F12" s="95">
        <v>3</v>
      </c>
      <c r="G12" s="98" t="s">
        <v>86</v>
      </c>
      <c r="H12" s="98">
        <v>4</v>
      </c>
      <c r="I12" s="98" t="s">
        <v>87</v>
      </c>
      <c r="J12" s="98">
        <v>5</v>
      </c>
      <c r="K12" s="98" t="s">
        <v>88</v>
      </c>
      <c r="L12" s="98" t="s">
        <v>89</v>
      </c>
      <c r="M12" s="98" t="s">
        <v>90</v>
      </c>
      <c r="N12" s="98">
        <v>6</v>
      </c>
      <c r="O12" s="99">
        <v>7</v>
      </c>
      <c r="P12" s="95">
        <v>8</v>
      </c>
    </row>
    <row r="13" spans="1:20" ht="15" x14ac:dyDescent="0.2">
      <c r="A13" s="95" t="s">
        <v>91</v>
      </c>
      <c r="B13" s="95"/>
      <c r="C13" s="95"/>
      <c r="D13" s="357" t="s">
        <v>330</v>
      </c>
      <c r="E13" s="357"/>
      <c r="F13" s="95">
        <v>1</v>
      </c>
      <c r="G13" s="100">
        <v>75185.961390000011</v>
      </c>
      <c r="H13" s="100">
        <v>84050</v>
      </c>
      <c r="I13" s="190">
        <v>84050</v>
      </c>
      <c r="J13" s="100">
        <v>86852.777279999995</v>
      </c>
      <c r="K13" s="100">
        <f>K14+K34</f>
        <v>26250</v>
      </c>
      <c r="L13" s="100">
        <f>L14+L34</f>
        <v>53100</v>
      </c>
      <c r="M13" s="100">
        <f>M14+M34</f>
        <v>83340</v>
      </c>
      <c r="N13" s="100">
        <f>N14+N34</f>
        <v>114010</v>
      </c>
      <c r="O13" s="100">
        <f>N13/J13*100</f>
        <v>131.26811090041403</v>
      </c>
      <c r="P13" s="101">
        <f>J13/G13*100</f>
        <v>115.51727965475176</v>
      </c>
      <c r="Q13" s="119"/>
      <c r="R13" s="59"/>
      <c r="T13" s="54"/>
    </row>
    <row r="14" spans="1:20" ht="27" customHeight="1" x14ac:dyDescent="0.2">
      <c r="A14" s="363"/>
      <c r="B14" s="106">
        <v>1</v>
      </c>
      <c r="C14" s="95"/>
      <c r="D14" s="371" t="s">
        <v>517</v>
      </c>
      <c r="E14" s="371"/>
      <c r="F14" s="95">
        <v>2</v>
      </c>
      <c r="G14" s="100">
        <v>74646.595620000007</v>
      </c>
      <c r="H14" s="100">
        <v>83700</v>
      </c>
      <c r="I14" s="190">
        <v>83700</v>
      </c>
      <c r="J14" s="100">
        <v>84748.488540000006</v>
      </c>
      <c r="K14" s="100">
        <f>K15+K20+K21+K24+K25+K26</f>
        <v>26150</v>
      </c>
      <c r="L14" s="100">
        <f>L15+L20+L21+L24+L25+L26</f>
        <v>52900</v>
      </c>
      <c r="M14" s="100">
        <f>M15+M20+M21+M24+M25+M26</f>
        <v>83040</v>
      </c>
      <c r="N14" s="100">
        <f>N15+N20+N21+N24+N25+N26</f>
        <v>113610</v>
      </c>
      <c r="O14" s="100">
        <f t="shared" ref="O14:O19" si="0">N14/J14*100</f>
        <v>134.05548813578875</v>
      </c>
      <c r="P14" s="101">
        <f t="shared" ref="P14:P19" si="1">J14/G14*100</f>
        <v>113.5329586514906</v>
      </c>
      <c r="Q14" s="61"/>
      <c r="R14" s="353"/>
      <c r="S14" s="353"/>
      <c r="T14" s="54"/>
    </row>
    <row r="15" spans="1:20" ht="15" customHeight="1" x14ac:dyDescent="0.2">
      <c r="A15" s="363"/>
      <c r="B15" s="363"/>
      <c r="C15" s="95" t="s">
        <v>10</v>
      </c>
      <c r="D15" s="357" t="s">
        <v>331</v>
      </c>
      <c r="E15" s="357"/>
      <c r="F15" s="95">
        <v>3</v>
      </c>
      <c r="G15" s="100">
        <v>68272.051240000015</v>
      </c>
      <c r="H15" s="100">
        <v>81270</v>
      </c>
      <c r="I15" s="190">
        <v>81270</v>
      </c>
      <c r="J15" s="100">
        <v>81899.103480000005</v>
      </c>
      <c r="K15" s="100">
        <f>K16+K17+K18+K19</f>
        <v>25515</v>
      </c>
      <c r="L15" s="100">
        <f>L16+L17+L18+L19</f>
        <v>51630</v>
      </c>
      <c r="M15" s="100">
        <f>M16+M17+M18+M19</f>
        <v>81195</v>
      </c>
      <c r="N15" s="100">
        <f>N16+N17+N18+N19</f>
        <v>111060</v>
      </c>
      <c r="O15" s="100">
        <f t="shared" si="0"/>
        <v>135.60588001689317</v>
      </c>
      <c r="P15" s="101">
        <f t="shared" si="1"/>
        <v>119.95992795367488</v>
      </c>
      <c r="R15" s="353"/>
      <c r="S15" s="353"/>
      <c r="T15" s="54"/>
    </row>
    <row r="16" spans="1:20" ht="14.25" customHeight="1" x14ac:dyDescent="0.2">
      <c r="A16" s="363"/>
      <c r="B16" s="363"/>
      <c r="C16" s="95"/>
      <c r="D16" s="106" t="s">
        <v>92</v>
      </c>
      <c r="E16" s="321" t="s">
        <v>93</v>
      </c>
      <c r="F16" s="95">
        <v>4</v>
      </c>
      <c r="G16" s="100">
        <v>64756.071089999998</v>
      </c>
      <c r="H16" s="100">
        <v>78320</v>
      </c>
      <c r="I16" s="190">
        <v>78320</v>
      </c>
      <c r="J16" s="100">
        <v>77000.142939999991</v>
      </c>
      <c r="K16" s="196">
        <v>25300</v>
      </c>
      <c r="L16" s="100">
        <f>K16+25700</f>
        <v>51000</v>
      </c>
      <c r="M16" s="100">
        <f>L16+28500</f>
        <v>79500</v>
      </c>
      <c r="N16" s="100">
        <f>M16+28000</f>
        <v>107500</v>
      </c>
      <c r="O16" s="100">
        <f>N16/J16*100</f>
        <v>139.61013044322021</v>
      </c>
      <c r="P16" s="101">
        <f>J16/G16*100</f>
        <v>118.9079906237406</v>
      </c>
      <c r="Q16" s="119"/>
      <c r="R16" s="60"/>
      <c r="S16" s="207"/>
      <c r="T16" s="208"/>
    </row>
    <row r="17" spans="1:20" ht="15.75" customHeight="1" x14ac:dyDescent="0.2">
      <c r="A17" s="363"/>
      <c r="B17" s="363"/>
      <c r="C17" s="95"/>
      <c r="D17" s="106" t="s">
        <v>94</v>
      </c>
      <c r="E17" s="321" t="s">
        <v>95</v>
      </c>
      <c r="F17" s="95">
        <v>5</v>
      </c>
      <c r="G17" s="100">
        <v>1313.54971</v>
      </c>
      <c r="H17" s="100">
        <v>1100</v>
      </c>
      <c r="I17" s="190">
        <v>1100</v>
      </c>
      <c r="J17" s="100">
        <v>1505.05431</v>
      </c>
      <c r="K17" s="100">
        <v>200</v>
      </c>
      <c r="L17" s="100">
        <v>500</v>
      </c>
      <c r="M17" s="100">
        <v>650</v>
      </c>
      <c r="N17" s="100">
        <f>1100+100</f>
        <v>1200</v>
      </c>
      <c r="O17" s="100">
        <f t="shared" si="0"/>
        <v>79.73134205369638</v>
      </c>
      <c r="P17" s="101">
        <f t="shared" si="1"/>
        <v>114.57916655472444</v>
      </c>
      <c r="R17" s="60"/>
      <c r="S17" s="207"/>
      <c r="T17" s="208"/>
    </row>
    <row r="18" spans="1:20" ht="15.75" customHeight="1" x14ac:dyDescent="0.2">
      <c r="A18" s="363"/>
      <c r="B18" s="363"/>
      <c r="C18" s="95"/>
      <c r="D18" s="106" t="s">
        <v>96</v>
      </c>
      <c r="E18" s="321" t="s">
        <v>97</v>
      </c>
      <c r="F18" s="95">
        <v>6</v>
      </c>
      <c r="G18" s="100">
        <v>52.88129</v>
      </c>
      <c r="H18" s="100">
        <v>50</v>
      </c>
      <c r="I18" s="190">
        <v>50</v>
      </c>
      <c r="J18" s="100">
        <v>58.952589999999994</v>
      </c>
      <c r="K18" s="100">
        <v>15</v>
      </c>
      <c r="L18" s="100">
        <v>30</v>
      </c>
      <c r="M18" s="100">
        <v>45</v>
      </c>
      <c r="N18" s="100">
        <v>60</v>
      </c>
      <c r="O18" s="100">
        <f t="shared" si="0"/>
        <v>101.77669886937963</v>
      </c>
      <c r="P18" s="101">
        <f>J18/G18*100</f>
        <v>111.48099828880875</v>
      </c>
      <c r="T18" s="54"/>
    </row>
    <row r="19" spans="1:20" ht="15.75" customHeight="1" x14ac:dyDescent="0.2">
      <c r="A19" s="363"/>
      <c r="B19" s="363"/>
      <c r="C19" s="95"/>
      <c r="D19" s="106" t="s">
        <v>98</v>
      </c>
      <c r="E19" s="321" t="s">
        <v>332</v>
      </c>
      <c r="F19" s="95">
        <v>7</v>
      </c>
      <c r="G19" s="100">
        <v>2149.5491499999998</v>
      </c>
      <c r="H19" s="100">
        <v>1800</v>
      </c>
      <c r="I19" s="190">
        <v>1800</v>
      </c>
      <c r="J19" s="100">
        <v>3334.9536400000002</v>
      </c>
      <c r="K19" s="100">
        <v>0</v>
      </c>
      <c r="L19" s="100">
        <v>100</v>
      </c>
      <c r="M19" s="100">
        <v>1000</v>
      </c>
      <c r="N19" s="100">
        <f>2000+300</f>
        <v>2300</v>
      </c>
      <c r="O19" s="100">
        <f t="shared" si="0"/>
        <v>68.966475947773588</v>
      </c>
      <c r="P19" s="101">
        <f t="shared" si="1"/>
        <v>155.14665668379811</v>
      </c>
      <c r="T19" s="54"/>
    </row>
    <row r="20" spans="1:20" ht="15" x14ac:dyDescent="0.2">
      <c r="A20" s="363"/>
      <c r="B20" s="363"/>
      <c r="C20" s="95" t="s">
        <v>12</v>
      </c>
      <c r="D20" s="357" t="s">
        <v>99</v>
      </c>
      <c r="E20" s="357"/>
      <c r="F20" s="95">
        <v>8</v>
      </c>
      <c r="G20" s="100">
        <v>0</v>
      </c>
      <c r="H20" s="100">
        <v>0</v>
      </c>
      <c r="I20" s="190">
        <v>0</v>
      </c>
      <c r="J20" s="100">
        <v>0</v>
      </c>
      <c r="K20" s="100">
        <v>0</v>
      </c>
      <c r="L20" s="100">
        <v>0</v>
      </c>
      <c r="M20" s="100">
        <v>0</v>
      </c>
      <c r="N20" s="100">
        <v>0</v>
      </c>
      <c r="O20" s="100">
        <v>0</v>
      </c>
      <c r="P20" s="100">
        <v>0</v>
      </c>
      <c r="T20" s="54"/>
    </row>
    <row r="21" spans="1:20" ht="27" customHeight="1" x14ac:dyDescent="0.2">
      <c r="A21" s="363"/>
      <c r="B21" s="363"/>
      <c r="C21" s="95" t="s">
        <v>48</v>
      </c>
      <c r="D21" s="357" t="s">
        <v>100</v>
      </c>
      <c r="E21" s="357"/>
      <c r="F21" s="95">
        <v>9</v>
      </c>
      <c r="G21" s="100">
        <v>3.64</v>
      </c>
      <c r="H21" s="100">
        <v>0</v>
      </c>
      <c r="I21" s="190">
        <v>0</v>
      </c>
      <c r="J21" s="100">
        <v>0</v>
      </c>
      <c r="K21" s="100">
        <f>K22+K23</f>
        <v>0</v>
      </c>
      <c r="L21" s="100">
        <f>L22+L23</f>
        <v>0</v>
      </c>
      <c r="M21" s="100">
        <f>M22+M23</f>
        <v>0</v>
      </c>
      <c r="N21" s="100">
        <f>N22+N23</f>
        <v>0</v>
      </c>
      <c r="O21" s="100">
        <v>0</v>
      </c>
      <c r="P21" s="100">
        <v>0</v>
      </c>
      <c r="T21" s="54"/>
    </row>
    <row r="22" spans="1:20" ht="16.5" customHeight="1" x14ac:dyDescent="0.2">
      <c r="A22" s="363"/>
      <c r="B22" s="363"/>
      <c r="C22" s="363"/>
      <c r="D22" s="95" t="s">
        <v>139</v>
      </c>
      <c r="E22" s="321" t="s">
        <v>11</v>
      </c>
      <c r="F22" s="95">
        <v>10</v>
      </c>
      <c r="G22" s="100">
        <v>3.64</v>
      </c>
      <c r="H22" s="100">
        <v>0</v>
      </c>
      <c r="I22" s="190">
        <v>0</v>
      </c>
      <c r="J22" s="100">
        <v>0</v>
      </c>
      <c r="K22" s="100">
        <v>0</v>
      </c>
      <c r="L22" s="100">
        <v>0</v>
      </c>
      <c r="M22" s="100">
        <v>0</v>
      </c>
      <c r="N22" s="100">
        <v>0</v>
      </c>
      <c r="O22" s="100">
        <v>0</v>
      </c>
      <c r="P22" s="100">
        <v>0</v>
      </c>
      <c r="T22" s="54"/>
    </row>
    <row r="23" spans="1:20" ht="14.25" customHeight="1" x14ac:dyDescent="0.2">
      <c r="A23" s="363"/>
      <c r="B23" s="363"/>
      <c r="C23" s="363"/>
      <c r="D23" s="95" t="s">
        <v>142</v>
      </c>
      <c r="E23" s="321" t="s">
        <v>13</v>
      </c>
      <c r="F23" s="95">
        <v>11</v>
      </c>
      <c r="G23" s="100">
        <v>0</v>
      </c>
      <c r="H23" s="100">
        <v>0</v>
      </c>
      <c r="I23" s="190">
        <v>0</v>
      </c>
      <c r="J23" s="100">
        <v>0</v>
      </c>
      <c r="K23" s="100">
        <v>0</v>
      </c>
      <c r="L23" s="100">
        <v>0</v>
      </c>
      <c r="M23" s="100">
        <v>0</v>
      </c>
      <c r="N23" s="100">
        <v>0</v>
      </c>
      <c r="O23" s="100">
        <v>0</v>
      </c>
      <c r="P23" s="100">
        <v>0</v>
      </c>
      <c r="T23" s="54"/>
    </row>
    <row r="24" spans="1:20" ht="12.75" customHeight="1" x14ac:dyDescent="0.2">
      <c r="A24" s="363"/>
      <c r="B24" s="363"/>
      <c r="C24" s="95" t="s">
        <v>57</v>
      </c>
      <c r="D24" s="357" t="s">
        <v>101</v>
      </c>
      <c r="E24" s="357"/>
      <c r="F24" s="95">
        <v>12</v>
      </c>
      <c r="G24" s="100">
        <v>2047.8810000000001</v>
      </c>
      <c r="H24" s="100">
        <v>2040</v>
      </c>
      <c r="I24" s="190">
        <v>2040</v>
      </c>
      <c r="J24" s="100">
        <v>2077.0419999999999</v>
      </c>
      <c r="K24" s="100">
        <v>550</v>
      </c>
      <c r="L24" s="100">
        <f>K24*2</f>
        <v>1100</v>
      </c>
      <c r="M24" s="100">
        <f>K24*3</f>
        <v>1650</v>
      </c>
      <c r="N24" s="100">
        <f>K24*4</f>
        <v>2200</v>
      </c>
      <c r="O24" s="100">
        <f>N24/J24*100</f>
        <v>105.91986103314233</v>
      </c>
      <c r="P24" s="101">
        <f>J24/G24*100</f>
        <v>101.42395969297043</v>
      </c>
      <c r="T24" s="54"/>
    </row>
    <row r="25" spans="1:20" ht="15" customHeight="1" x14ac:dyDescent="0.2">
      <c r="A25" s="363"/>
      <c r="B25" s="363"/>
      <c r="C25" s="95" t="s">
        <v>59</v>
      </c>
      <c r="D25" s="357" t="s">
        <v>102</v>
      </c>
      <c r="E25" s="357"/>
      <c r="F25" s="95">
        <v>13</v>
      </c>
      <c r="G25" s="100">
        <v>0</v>
      </c>
      <c r="H25" s="100">
        <v>0</v>
      </c>
      <c r="I25" s="190">
        <v>0</v>
      </c>
      <c r="J25" s="100">
        <v>0</v>
      </c>
      <c r="K25" s="100">
        <v>0</v>
      </c>
      <c r="L25" s="100">
        <v>0</v>
      </c>
      <c r="M25" s="100">
        <v>0</v>
      </c>
      <c r="N25" s="100">
        <v>0</v>
      </c>
      <c r="O25" s="100">
        <v>0</v>
      </c>
      <c r="P25" s="100">
        <v>0</v>
      </c>
      <c r="T25" s="54"/>
    </row>
    <row r="26" spans="1:20" ht="27" customHeight="1" x14ac:dyDescent="0.2">
      <c r="A26" s="363"/>
      <c r="B26" s="95"/>
      <c r="C26" s="95" t="s">
        <v>103</v>
      </c>
      <c r="D26" s="357" t="s">
        <v>104</v>
      </c>
      <c r="E26" s="357"/>
      <c r="F26" s="95">
        <v>14</v>
      </c>
      <c r="G26" s="100">
        <v>4323.0233800000005</v>
      </c>
      <c r="H26" s="100">
        <v>390</v>
      </c>
      <c r="I26" s="190">
        <v>390</v>
      </c>
      <c r="J26" s="100">
        <v>772.34306000000004</v>
      </c>
      <c r="K26" s="100">
        <f>K27+K28+K31+K32+K33</f>
        <v>85</v>
      </c>
      <c r="L26" s="100">
        <f>L27+L28+L31+L32+L33</f>
        <v>170</v>
      </c>
      <c r="M26" s="100">
        <f>M27+M28+M31+M32+M33</f>
        <v>195</v>
      </c>
      <c r="N26" s="100">
        <f>N27+N28+N31+N32+N33</f>
        <v>350</v>
      </c>
      <c r="O26" s="100">
        <f>N26/J26*100</f>
        <v>45.31664983174705</v>
      </c>
      <c r="P26" s="101">
        <f>J26/G26*100</f>
        <v>17.865808072497629</v>
      </c>
      <c r="T26" s="54"/>
    </row>
    <row r="27" spans="1:20" ht="15" customHeight="1" x14ac:dyDescent="0.2">
      <c r="A27" s="363"/>
      <c r="B27" s="95"/>
      <c r="C27" s="95"/>
      <c r="D27" s="321" t="s">
        <v>105</v>
      </c>
      <c r="E27" s="321" t="s">
        <v>106</v>
      </c>
      <c r="F27" s="95">
        <v>15</v>
      </c>
      <c r="G27" s="100">
        <v>3591.1886600000003</v>
      </c>
      <c r="H27" s="100">
        <v>40</v>
      </c>
      <c r="I27" s="190">
        <v>40</v>
      </c>
      <c r="J27" s="100">
        <v>183.78258000000002</v>
      </c>
      <c r="K27" s="100">
        <v>25</v>
      </c>
      <c r="L27" s="100">
        <v>50</v>
      </c>
      <c r="M27" s="100">
        <v>75</v>
      </c>
      <c r="N27" s="100">
        <v>100</v>
      </c>
      <c r="O27" s="100">
        <f>N27/J27*100</f>
        <v>54.412121105275588</v>
      </c>
      <c r="P27" s="101">
        <f>J27/G27*100</f>
        <v>5.1175974698026589</v>
      </c>
      <c r="T27" s="54"/>
    </row>
    <row r="28" spans="1:20" ht="28.5" customHeight="1" x14ac:dyDescent="0.2">
      <c r="A28" s="363"/>
      <c r="B28" s="95"/>
      <c r="C28" s="95"/>
      <c r="D28" s="321" t="s">
        <v>107</v>
      </c>
      <c r="E28" s="321" t="s">
        <v>333</v>
      </c>
      <c r="F28" s="95">
        <v>16</v>
      </c>
      <c r="G28" s="100">
        <v>0</v>
      </c>
      <c r="H28" s="100">
        <v>0</v>
      </c>
      <c r="I28" s="190">
        <v>0</v>
      </c>
      <c r="J28" s="100">
        <v>0</v>
      </c>
      <c r="K28" s="100">
        <f>K29+K30</f>
        <v>0</v>
      </c>
      <c r="L28" s="100">
        <f>L29+L30</f>
        <v>0</v>
      </c>
      <c r="M28" s="100">
        <f>M29+M30</f>
        <v>0</v>
      </c>
      <c r="N28" s="100">
        <f>N29+N30</f>
        <v>0</v>
      </c>
      <c r="O28" s="100">
        <v>0</v>
      </c>
      <c r="P28" s="100">
        <v>0</v>
      </c>
      <c r="T28" s="54"/>
    </row>
    <row r="29" spans="1:20" ht="14.25" customHeight="1" x14ac:dyDescent="0.2">
      <c r="A29" s="363"/>
      <c r="B29" s="95"/>
      <c r="C29" s="95"/>
      <c r="D29" s="321"/>
      <c r="E29" s="321" t="s">
        <v>108</v>
      </c>
      <c r="F29" s="95">
        <v>17</v>
      </c>
      <c r="G29" s="100">
        <v>0</v>
      </c>
      <c r="H29" s="100">
        <v>0</v>
      </c>
      <c r="I29" s="190">
        <v>0</v>
      </c>
      <c r="J29" s="100">
        <v>0</v>
      </c>
      <c r="K29" s="100">
        <v>0</v>
      </c>
      <c r="L29" s="100">
        <v>0</v>
      </c>
      <c r="M29" s="100">
        <v>0</v>
      </c>
      <c r="N29" s="100">
        <v>0</v>
      </c>
      <c r="O29" s="100">
        <v>0</v>
      </c>
      <c r="P29" s="100">
        <v>0</v>
      </c>
      <c r="T29" s="54"/>
    </row>
    <row r="30" spans="1:20" ht="15" customHeight="1" x14ac:dyDescent="0.2">
      <c r="A30" s="363"/>
      <c r="B30" s="95"/>
      <c r="C30" s="95"/>
      <c r="D30" s="321"/>
      <c r="E30" s="321" t="s">
        <v>109</v>
      </c>
      <c r="F30" s="95">
        <v>18</v>
      </c>
      <c r="G30" s="100">
        <v>0</v>
      </c>
      <c r="H30" s="100">
        <v>0</v>
      </c>
      <c r="I30" s="190">
        <v>0</v>
      </c>
      <c r="J30" s="100">
        <v>0</v>
      </c>
      <c r="K30" s="100">
        <v>0</v>
      </c>
      <c r="L30" s="100">
        <v>0</v>
      </c>
      <c r="M30" s="100">
        <v>0</v>
      </c>
      <c r="N30" s="100">
        <v>0</v>
      </c>
      <c r="O30" s="100">
        <v>0</v>
      </c>
      <c r="P30" s="100">
        <v>0</v>
      </c>
      <c r="T30" s="54"/>
    </row>
    <row r="31" spans="1:20" ht="14.25" customHeight="1" x14ac:dyDescent="0.2">
      <c r="A31" s="363"/>
      <c r="B31" s="95"/>
      <c r="C31" s="95"/>
      <c r="D31" s="321" t="s">
        <v>110</v>
      </c>
      <c r="E31" s="321" t="s">
        <v>111</v>
      </c>
      <c r="F31" s="95">
        <v>19</v>
      </c>
      <c r="G31" s="100">
        <v>0</v>
      </c>
      <c r="H31" s="100">
        <v>0</v>
      </c>
      <c r="I31" s="190">
        <v>0</v>
      </c>
      <c r="J31" s="100">
        <v>0</v>
      </c>
      <c r="K31" s="100">
        <v>0</v>
      </c>
      <c r="L31" s="100">
        <v>0</v>
      </c>
      <c r="M31" s="100">
        <v>0</v>
      </c>
      <c r="N31" s="100">
        <v>0</v>
      </c>
      <c r="O31" s="100">
        <v>0</v>
      </c>
      <c r="P31" s="100">
        <v>0</v>
      </c>
      <c r="T31" s="54"/>
    </row>
    <row r="32" spans="1:20" ht="12" customHeight="1" x14ac:dyDescent="0.2">
      <c r="A32" s="363"/>
      <c r="B32" s="95"/>
      <c r="C32" s="95"/>
      <c r="D32" s="321" t="s">
        <v>112</v>
      </c>
      <c r="E32" s="321" t="s">
        <v>113</v>
      </c>
      <c r="F32" s="95">
        <v>20</v>
      </c>
      <c r="G32" s="100">
        <v>0</v>
      </c>
      <c r="H32" s="100">
        <v>0</v>
      </c>
      <c r="I32" s="190">
        <v>0</v>
      </c>
      <c r="J32" s="100">
        <v>0</v>
      </c>
      <c r="K32" s="100">
        <v>0</v>
      </c>
      <c r="L32" s="100">
        <v>0</v>
      </c>
      <c r="M32" s="100">
        <v>0</v>
      </c>
      <c r="N32" s="100">
        <v>0</v>
      </c>
      <c r="O32" s="100">
        <v>0</v>
      </c>
      <c r="P32" s="101">
        <v>0</v>
      </c>
      <c r="T32" s="54"/>
    </row>
    <row r="33" spans="1:20" ht="15" x14ac:dyDescent="0.2">
      <c r="A33" s="363"/>
      <c r="B33" s="95"/>
      <c r="C33" s="95"/>
      <c r="D33" s="321" t="s">
        <v>114</v>
      </c>
      <c r="E33" s="321" t="s">
        <v>115</v>
      </c>
      <c r="F33" s="95">
        <v>21</v>
      </c>
      <c r="G33" s="100">
        <v>731.83471999999995</v>
      </c>
      <c r="H33" s="100">
        <v>350</v>
      </c>
      <c r="I33" s="190">
        <v>350</v>
      </c>
      <c r="J33" s="100">
        <v>588.56047999999998</v>
      </c>
      <c r="K33" s="100">
        <v>60</v>
      </c>
      <c r="L33" s="100">
        <f>K33+60</f>
        <v>120</v>
      </c>
      <c r="M33" s="100">
        <f>L33+0</f>
        <v>120</v>
      </c>
      <c r="N33" s="100">
        <f>M33+80+50</f>
        <v>250</v>
      </c>
      <c r="O33" s="100">
        <f>N33/J33*100</f>
        <v>42.476518301058888</v>
      </c>
      <c r="P33" s="101">
        <f>J33/G33*100</f>
        <v>80.422595965384104</v>
      </c>
      <c r="T33" s="54"/>
    </row>
    <row r="34" spans="1:20" ht="27" customHeight="1" x14ac:dyDescent="0.2">
      <c r="A34" s="363"/>
      <c r="B34" s="95">
        <v>2</v>
      </c>
      <c r="C34" s="95"/>
      <c r="D34" s="357" t="s">
        <v>334</v>
      </c>
      <c r="E34" s="357"/>
      <c r="F34" s="95">
        <v>22</v>
      </c>
      <c r="G34" s="100">
        <v>539.36577</v>
      </c>
      <c r="H34" s="100">
        <v>350</v>
      </c>
      <c r="I34" s="190">
        <v>350</v>
      </c>
      <c r="J34" s="100">
        <v>2104.2887400000004</v>
      </c>
      <c r="K34" s="100">
        <f>K35+K36+K37+K38+K39</f>
        <v>100</v>
      </c>
      <c r="L34" s="100">
        <f>L35+L36+L37+L38+L39</f>
        <v>200</v>
      </c>
      <c r="M34" s="100">
        <f>M35+M36+M37+M38+M39</f>
        <v>300</v>
      </c>
      <c r="N34" s="100">
        <f>N35+N36+N37+N38+N39</f>
        <v>400</v>
      </c>
      <c r="O34" s="100">
        <f>N34/J34*100</f>
        <v>19.008798193730765</v>
      </c>
      <c r="P34" s="101">
        <f>J34/G34*100</f>
        <v>390.14132098149281</v>
      </c>
      <c r="T34" s="54"/>
    </row>
    <row r="35" spans="1:20" ht="13.5" customHeight="1" x14ac:dyDescent="0.2">
      <c r="A35" s="363"/>
      <c r="B35" s="363"/>
      <c r="C35" s="95" t="s">
        <v>10</v>
      </c>
      <c r="D35" s="357" t="s">
        <v>116</v>
      </c>
      <c r="E35" s="357"/>
      <c r="F35" s="95">
        <v>23</v>
      </c>
      <c r="G35" s="100">
        <v>0</v>
      </c>
      <c r="H35" s="100">
        <v>0</v>
      </c>
      <c r="I35" s="190">
        <v>0</v>
      </c>
      <c r="J35" s="100">
        <v>0</v>
      </c>
      <c r="K35" s="100">
        <v>0</v>
      </c>
      <c r="L35" s="100">
        <v>0</v>
      </c>
      <c r="M35" s="100">
        <v>0</v>
      </c>
      <c r="N35" s="100">
        <v>0</v>
      </c>
      <c r="O35" s="100">
        <v>0</v>
      </c>
      <c r="P35" s="100">
        <v>0</v>
      </c>
      <c r="T35" s="54"/>
    </row>
    <row r="36" spans="1:20" ht="13.5" customHeight="1" x14ac:dyDescent="0.2">
      <c r="A36" s="363"/>
      <c r="B36" s="363"/>
      <c r="C36" s="95" t="s">
        <v>12</v>
      </c>
      <c r="D36" s="357" t="s">
        <v>117</v>
      </c>
      <c r="E36" s="357"/>
      <c r="F36" s="95">
        <v>24</v>
      </c>
      <c r="G36" s="100">
        <v>0</v>
      </c>
      <c r="H36" s="100">
        <v>0</v>
      </c>
      <c r="I36" s="190">
        <v>0</v>
      </c>
      <c r="J36" s="100">
        <v>0</v>
      </c>
      <c r="K36" s="100">
        <v>0</v>
      </c>
      <c r="L36" s="100">
        <v>0</v>
      </c>
      <c r="M36" s="100">
        <v>0</v>
      </c>
      <c r="N36" s="100">
        <v>0</v>
      </c>
      <c r="O36" s="100">
        <v>0</v>
      </c>
      <c r="P36" s="100">
        <v>0</v>
      </c>
      <c r="T36" s="54"/>
    </row>
    <row r="37" spans="1:20" ht="15.75" customHeight="1" x14ac:dyDescent="0.2">
      <c r="A37" s="363"/>
      <c r="B37" s="363"/>
      <c r="C37" s="95" t="s">
        <v>48</v>
      </c>
      <c r="D37" s="357" t="s">
        <v>118</v>
      </c>
      <c r="E37" s="357"/>
      <c r="F37" s="95">
        <v>25</v>
      </c>
      <c r="G37" s="100">
        <v>0</v>
      </c>
      <c r="H37" s="100">
        <v>0</v>
      </c>
      <c r="I37" s="190">
        <v>0</v>
      </c>
      <c r="J37" s="100">
        <v>0.44736999999999999</v>
      </c>
      <c r="K37" s="100">
        <v>0</v>
      </c>
      <c r="L37" s="100">
        <v>0</v>
      </c>
      <c r="M37" s="100">
        <v>0</v>
      </c>
      <c r="N37" s="100">
        <v>0</v>
      </c>
      <c r="O37" s="100">
        <v>0</v>
      </c>
      <c r="P37" s="101">
        <v>0</v>
      </c>
      <c r="T37" s="54"/>
    </row>
    <row r="38" spans="1:20" ht="14.25" customHeight="1" x14ac:dyDescent="0.2">
      <c r="A38" s="363"/>
      <c r="B38" s="363"/>
      <c r="C38" s="95" t="s">
        <v>57</v>
      </c>
      <c r="D38" s="357" t="s">
        <v>119</v>
      </c>
      <c r="E38" s="357"/>
      <c r="F38" s="95">
        <v>26</v>
      </c>
      <c r="G38" s="100">
        <v>539.36577</v>
      </c>
      <c r="H38" s="100">
        <v>350</v>
      </c>
      <c r="I38" s="190">
        <v>350</v>
      </c>
      <c r="J38" s="100">
        <v>2103.8413700000001</v>
      </c>
      <c r="K38" s="100">
        <v>100</v>
      </c>
      <c r="L38" s="100">
        <f>K38+100</f>
        <v>200</v>
      </c>
      <c r="M38" s="100">
        <f>L38+100</f>
        <v>300</v>
      </c>
      <c r="N38" s="100">
        <f>M38+100</f>
        <v>400</v>
      </c>
      <c r="O38" s="100">
        <f>N38/J38*100</f>
        <v>19.012840307442001</v>
      </c>
      <c r="P38" s="101">
        <f>J38/G38*100</f>
        <v>390.05837726780476</v>
      </c>
      <c r="T38" s="54"/>
    </row>
    <row r="39" spans="1:20" ht="15" customHeight="1" x14ac:dyDescent="0.2">
      <c r="A39" s="363"/>
      <c r="B39" s="363"/>
      <c r="C39" s="95" t="s">
        <v>59</v>
      </c>
      <c r="D39" s="357" t="s">
        <v>120</v>
      </c>
      <c r="E39" s="357"/>
      <c r="F39" s="95">
        <v>27</v>
      </c>
      <c r="G39" s="100">
        <v>0</v>
      </c>
      <c r="H39" s="100">
        <v>0</v>
      </c>
      <c r="I39" s="190">
        <v>0</v>
      </c>
      <c r="J39" s="100">
        <v>0</v>
      </c>
      <c r="K39" s="100">
        <v>0</v>
      </c>
      <c r="L39" s="100">
        <v>0</v>
      </c>
      <c r="M39" s="100">
        <v>0</v>
      </c>
      <c r="N39" s="100">
        <v>0</v>
      </c>
      <c r="O39" s="100">
        <v>0</v>
      </c>
      <c r="P39" s="100">
        <v>0</v>
      </c>
      <c r="T39" s="54"/>
    </row>
    <row r="40" spans="1:20" ht="15" x14ac:dyDescent="0.2">
      <c r="A40" s="95" t="s">
        <v>15</v>
      </c>
      <c r="B40" s="371" t="s">
        <v>335</v>
      </c>
      <c r="C40" s="371"/>
      <c r="D40" s="371"/>
      <c r="E40" s="371"/>
      <c r="F40" s="95">
        <v>28</v>
      </c>
      <c r="G40" s="100">
        <v>64962.360629999996</v>
      </c>
      <c r="H40" s="100">
        <v>83950.270124999995</v>
      </c>
      <c r="I40" s="190">
        <v>83950.270124999995</v>
      </c>
      <c r="J40" s="100">
        <v>79052.157020000013</v>
      </c>
      <c r="K40" s="100">
        <f>K41+K142</f>
        <v>24872.3183875</v>
      </c>
      <c r="L40" s="100">
        <f>L41+L142</f>
        <v>54962.482775000004</v>
      </c>
      <c r="M40" s="100">
        <f>M41+M142</f>
        <v>83417.874662499991</v>
      </c>
      <c r="N40" s="100">
        <f>N41+N142</f>
        <v>113778.57154999999</v>
      </c>
      <c r="O40" s="100">
        <f t="shared" ref="O40:O49" si="2">N40/J40*100</f>
        <v>143.92848448299048</v>
      </c>
      <c r="P40" s="101">
        <f t="shared" ref="P40:P49" si="3">J40/G40*100</f>
        <v>121.6891693179839</v>
      </c>
      <c r="Q40" s="119"/>
      <c r="R40" s="59"/>
      <c r="S40" s="58"/>
    </row>
    <row r="41" spans="1:20" ht="15" x14ac:dyDescent="0.2">
      <c r="A41" s="363"/>
      <c r="B41" s="95">
        <v>1</v>
      </c>
      <c r="C41" s="371" t="s">
        <v>336</v>
      </c>
      <c r="D41" s="371"/>
      <c r="E41" s="371"/>
      <c r="F41" s="95">
        <v>29</v>
      </c>
      <c r="G41" s="100">
        <v>64250.521939999999</v>
      </c>
      <c r="H41" s="100">
        <v>82690.270124999995</v>
      </c>
      <c r="I41" s="190">
        <v>82690.270124999995</v>
      </c>
      <c r="J41" s="100">
        <v>77919.779440000013</v>
      </c>
      <c r="K41" s="100">
        <f>K42+K90+K97+K125</f>
        <v>24552.3183875</v>
      </c>
      <c r="L41" s="100">
        <f>L42+L90+L97+L125</f>
        <v>54317.482775000004</v>
      </c>
      <c r="M41" s="100">
        <f>M42+M90+M97+M125</f>
        <v>82457.874662499991</v>
      </c>
      <c r="N41" s="100">
        <f>N42+N90+N97+N125</f>
        <v>112513.57154999999</v>
      </c>
      <c r="O41" s="100">
        <f t="shared" si="2"/>
        <v>144.39667611820948</v>
      </c>
      <c r="P41" s="101">
        <f t="shared" si="3"/>
        <v>121.27493612077575</v>
      </c>
      <c r="Q41" s="187"/>
    </row>
    <row r="42" spans="1:20" ht="15" x14ac:dyDescent="0.2">
      <c r="A42" s="363"/>
      <c r="B42" s="363"/>
      <c r="C42" s="371" t="s">
        <v>337</v>
      </c>
      <c r="D42" s="371"/>
      <c r="E42" s="371"/>
      <c r="F42" s="95">
        <v>30</v>
      </c>
      <c r="G42" s="100">
        <v>19010.532879999999</v>
      </c>
      <c r="H42" s="100">
        <v>31556</v>
      </c>
      <c r="I42" s="190">
        <v>31556</v>
      </c>
      <c r="J42" s="100">
        <v>29126.102910000001</v>
      </c>
      <c r="K42" s="100">
        <f>K43+K51+K57</f>
        <v>9294</v>
      </c>
      <c r="L42" s="100">
        <f>L43+L51+L57</f>
        <v>18980</v>
      </c>
      <c r="M42" s="100">
        <f>M43+M51+M57</f>
        <v>28298</v>
      </c>
      <c r="N42" s="100">
        <f>N43+N51+N57</f>
        <v>37403</v>
      </c>
      <c r="O42" s="100">
        <f>N42/J42*100</f>
        <v>128.41745466455197</v>
      </c>
      <c r="P42" s="101">
        <f t="shared" si="3"/>
        <v>153.21034446457875</v>
      </c>
    </row>
    <row r="43" spans="1:20" ht="26.25" customHeight="1" x14ac:dyDescent="0.2">
      <c r="A43" s="363"/>
      <c r="B43" s="363"/>
      <c r="C43" s="95" t="s">
        <v>121</v>
      </c>
      <c r="D43" s="357" t="s">
        <v>518</v>
      </c>
      <c r="E43" s="357"/>
      <c r="F43" s="95">
        <v>31</v>
      </c>
      <c r="G43" s="100">
        <v>13970.004439999999</v>
      </c>
      <c r="H43" s="100">
        <v>23648</v>
      </c>
      <c r="I43" s="190">
        <v>23648</v>
      </c>
      <c r="J43" s="100">
        <v>23588.274920000003</v>
      </c>
      <c r="K43" s="100">
        <f>K44+K45+K48+K49+K50</f>
        <v>6930</v>
      </c>
      <c r="L43" s="100">
        <f>L44+L45+L48+L49+L50</f>
        <v>14015</v>
      </c>
      <c r="M43" s="100">
        <f>M44+M45+M48+M49+M50</f>
        <v>20955</v>
      </c>
      <c r="N43" s="100">
        <f>N44+N45+N48+N49+N50</f>
        <v>28105</v>
      </c>
      <c r="O43" s="100">
        <f>N43/J43*100</f>
        <v>119.14817889531362</v>
      </c>
      <c r="P43" s="101">
        <f t="shared" si="3"/>
        <v>168.8494446892245</v>
      </c>
    </row>
    <row r="44" spans="1:20" ht="15" x14ac:dyDescent="0.2">
      <c r="A44" s="363"/>
      <c r="B44" s="363"/>
      <c r="C44" s="95" t="s">
        <v>10</v>
      </c>
      <c r="D44" s="357" t="s">
        <v>122</v>
      </c>
      <c r="E44" s="357"/>
      <c r="F44" s="95">
        <v>32</v>
      </c>
      <c r="G44" s="100">
        <v>2418.9116800000002</v>
      </c>
      <c r="H44" s="100">
        <v>4000</v>
      </c>
      <c r="I44" s="190">
        <v>4000</v>
      </c>
      <c r="J44" s="100">
        <v>3534.9096</v>
      </c>
      <c r="K44" s="100">
        <f>302+88+720</f>
        <v>1110</v>
      </c>
      <c r="L44" s="100">
        <f>K44+315+75+1500</f>
        <v>3000</v>
      </c>
      <c r="M44" s="100">
        <f>L44+344+86+1200</f>
        <v>4630</v>
      </c>
      <c r="N44" s="100">
        <f>M44+285+85+1000</f>
        <v>6000</v>
      </c>
      <c r="O44" s="100">
        <f t="shared" si="2"/>
        <v>169.73559946200604</v>
      </c>
      <c r="P44" s="101">
        <f t="shared" si="3"/>
        <v>146.13636492920651</v>
      </c>
    </row>
    <row r="45" spans="1:20" ht="15" x14ac:dyDescent="0.2">
      <c r="A45" s="363"/>
      <c r="B45" s="363"/>
      <c r="C45" s="95" t="s">
        <v>12</v>
      </c>
      <c r="D45" s="357" t="s">
        <v>123</v>
      </c>
      <c r="E45" s="357"/>
      <c r="F45" s="95">
        <v>33</v>
      </c>
      <c r="G45" s="100">
        <v>3331.13931</v>
      </c>
      <c r="H45" s="100">
        <v>5150</v>
      </c>
      <c r="I45" s="190">
        <v>5150</v>
      </c>
      <c r="J45" s="100">
        <v>3956.2327699999996</v>
      </c>
      <c r="K45" s="100">
        <f>K46+K47+300+50</f>
        <v>1050</v>
      </c>
      <c r="L45" s="100">
        <f>L46+L47+300+450+50+100</f>
        <v>2300</v>
      </c>
      <c r="M45" s="100">
        <f>M46+M47+300+450+500+50+100+100</f>
        <v>3600</v>
      </c>
      <c r="N45" s="100">
        <f>N46+N47+300+450+500+600+50+100+100+50+100</f>
        <v>5170</v>
      </c>
      <c r="O45" s="100">
        <f>N45/J45*100</f>
        <v>130.67987402571362</v>
      </c>
      <c r="P45" s="101">
        <f t="shared" si="3"/>
        <v>118.76515515648008</v>
      </c>
    </row>
    <row r="46" spans="1:20" ht="15" x14ac:dyDescent="0.2">
      <c r="A46" s="363"/>
      <c r="B46" s="363"/>
      <c r="C46" s="95"/>
      <c r="D46" s="321" t="s">
        <v>124</v>
      </c>
      <c r="E46" s="321" t="s">
        <v>125</v>
      </c>
      <c r="F46" s="95">
        <v>34</v>
      </c>
      <c r="G46" s="100">
        <v>584.97262999999998</v>
      </c>
      <c r="H46" s="100">
        <v>900</v>
      </c>
      <c r="I46" s="190">
        <v>900</v>
      </c>
      <c r="J46" s="100">
        <v>629.20156999999995</v>
      </c>
      <c r="K46" s="100">
        <v>250</v>
      </c>
      <c r="L46" s="100">
        <f>K46+250</f>
        <v>500</v>
      </c>
      <c r="M46" s="100">
        <f>L46+250</f>
        <v>750</v>
      </c>
      <c r="N46" s="100">
        <f>M46+250</f>
        <v>1000</v>
      </c>
      <c r="O46" s="100">
        <f t="shared" si="2"/>
        <v>158.93158054262327</v>
      </c>
      <c r="P46" s="101">
        <f t="shared" si="3"/>
        <v>107.5608563087815</v>
      </c>
    </row>
    <row r="47" spans="1:20" ht="14.25" customHeight="1" x14ac:dyDescent="0.2">
      <c r="A47" s="363"/>
      <c r="B47" s="363"/>
      <c r="C47" s="95"/>
      <c r="D47" s="321" t="s">
        <v>126</v>
      </c>
      <c r="E47" s="321" t="s">
        <v>413</v>
      </c>
      <c r="F47" s="95">
        <v>35</v>
      </c>
      <c r="G47" s="100">
        <v>1295.54513</v>
      </c>
      <c r="H47" s="100">
        <v>2300</v>
      </c>
      <c r="I47" s="190">
        <v>2300</v>
      </c>
      <c r="J47" s="100">
        <v>1840.3433200000002</v>
      </c>
      <c r="K47" s="100">
        <f>150*3</f>
        <v>450</v>
      </c>
      <c r="L47" s="100">
        <f>K47+150*3</f>
        <v>900</v>
      </c>
      <c r="M47" s="100">
        <f>L47+150*3</f>
        <v>1350</v>
      </c>
      <c r="N47" s="100">
        <f>M47+150*3+100+20</f>
        <v>1920</v>
      </c>
      <c r="O47" s="100">
        <f>N47/J47*100</f>
        <v>104.32835977582704</v>
      </c>
      <c r="P47" s="101">
        <f>J47/G47*100</f>
        <v>142.05165666440351</v>
      </c>
    </row>
    <row r="48" spans="1:20" ht="15" x14ac:dyDescent="0.2">
      <c r="A48" s="363"/>
      <c r="B48" s="363"/>
      <c r="C48" s="95" t="s">
        <v>48</v>
      </c>
      <c r="D48" s="357" t="s">
        <v>313</v>
      </c>
      <c r="E48" s="357"/>
      <c r="F48" s="95">
        <v>36</v>
      </c>
      <c r="G48" s="100">
        <v>457.28315999999995</v>
      </c>
      <c r="H48" s="100">
        <v>750</v>
      </c>
      <c r="I48" s="190">
        <v>750</v>
      </c>
      <c r="J48" s="100">
        <v>348.86707000000001</v>
      </c>
      <c r="K48" s="100">
        <v>200</v>
      </c>
      <c r="L48" s="100">
        <f>K48+100</f>
        <v>300</v>
      </c>
      <c r="M48" s="100">
        <f>L48+200+100</f>
        <v>600</v>
      </c>
      <c r="N48" s="100">
        <f>M48+100</f>
        <v>700</v>
      </c>
      <c r="O48" s="100">
        <f t="shared" si="2"/>
        <v>200.64949093647618</v>
      </c>
      <c r="P48" s="101">
        <f t="shared" si="3"/>
        <v>76.291256822140582</v>
      </c>
    </row>
    <row r="49" spans="1:20" ht="13.5" customHeight="1" x14ac:dyDescent="0.2">
      <c r="A49" s="363"/>
      <c r="B49" s="363"/>
      <c r="C49" s="95" t="s">
        <v>57</v>
      </c>
      <c r="D49" s="357" t="s">
        <v>127</v>
      </c>
      <c r="E49" s="357"/>
      <c r="F49" s="95">
        <v>37</v>
      </c>
      <c r="G49" s="100">
        <v>7762.6702899999991</v>
      </c>
      <c r="H49" s="100">
        <v>13748</v>
      </c>
      <c r="I49" s="190">
        <v>13748</v>
      </c>
      <c r="J49" s="100">
        <v>15748.26548</v>
      </c>
      <c r="K49" s="100">
        <f>3800+145+55+185+385</f>
        <v>4570</v>
      </c>
      <c r="L49" s="100">
        <f>K49+3500+175+125+45</f>
        <v>8415</v>
      </c>
      <c r="M49" s="100">
        <f>L49+3300+155+245+10</f>
        <v>12125</v>
      </c>
      <c r="N49" s="100">
        <f>M49+3700+210+40+50+110</f>
        <v>16235</v>
      </c>
      <c r="O49" s="100">
        <f t="shared" si="2"/>
        <v>103.0907182801696</v>
      </c>
      <c r="P49" s="101">
        <f t="shared" si="3"/>
        <v>202.87175535829695</v>
      </c>
      <c r="T49" s="53"/>
    </row>
    <row r="50" spans="1:20" ht="15" x14ac:dyDescent="0.2">
      <c r="A50" s="363"/>
      <c r="B50" s="363"/>
      <c r="C50" s="95" t="s">
        <v>59</v>
      </c>
      <c r="D50" s="357" t="s">
        <v>128</v>
      </c>
      <c r="E50" s="357"/>
      <c r="F50" s="95">
        <v>38</v>
      </c>
      <c r="G50" s="100">
        <v>0</v>
      </c>
      <c r="H50" s="100">
        <v>0</v>
      </c>
      <c r="I50" s="190">
        <v>0</v>
      </c>
      <c r="J50" s="100">
        <v>0</v>
      </c>
      <c r="K50" s="100">
        <v>0</v>
      </c>
      <c r="L50" s="100">
        <v>0</v>
      </c>
      <c r="M50" s="100">
        <v>0</v>
      </c>
      <c r="N50" s="100">
        <v>0</v>
      </c>
      <c r="O50" s="100">
        <v>0</v>
      </c>
      <c r="P50" s="100">
        <v>0</v>
      </c>
    </row>
    <row r="51" spans="1:20" ht="25.5" customHeight="1" x14ac:dyDescent="0.2">
      <c r="A51" s="363"/>
      <c r="B51" s="363"/>
      <c r="C51" s="95" t="s">
        <v>129</v>
      </c>
      <c r="D51" s="357" t="s">
        <v>338</v>
      </c>
      <c r="E51" s="357"/>
      <c r="F51" s="95">
        <v>39</v>
      </c>
      <c r="G51" s="100">
        <v>1849.3200300000001</v>
      </c>
      <c r="H51" s="100">
        <v>2770</v>
      </c>
      <c r="I51" s="190">
        <v>2770</v>
      </c>
      <c r="J51" s="100">
        <v>2149.3141799999999</v>
      </c>
      <c r="K51" s="100">
        <f>K52+K53+K56</f>
        <v>694</v>
      </c>
      <c r="L51" s="100">
        <f>L52+L53+L56</f>
        <v>1660</v>
      </c>
      <c r="M51" s="100">
        <f>M52+M53+M56</f>
        <v>2608</v>
      </c>
      <c r="N51" s="100">
        <f>N52+N53+N56</f>
        <v>3233</v>
      </c>
      <c r="O51" s="100">
        <f t="shared" ref="O51:O57" si="4">N51/J51*100</f>
        <v>150.42007492827318</v>
      </c>
      <c r="P51" s="101">
        <f t="shared" ref="P51:P57" si="5">J51/G51*100</f>
        <v>116.22186236743457</v>
      </c>
    </row>
    <row r="52" spans="1:20" ht="13.15" customHeight="1" x14ac:dyDescent="0.2">
      <c r="A52" s="363"/>
      <c r="B52" s="363"/>
      <c r="C52" s="95" t="s">
        <v>10</v>
      </c>
      <c r="D52" s="357" t="s">
        <v>130</v>
      </c>
      <c r="E52" s="357"/>
      <c r="F52" s="95">
        <v>40</v>
      </c>
      <c r="G52" s="100">
        <v>1769.4734599999999</v>
      </c>
      <c r="H52" s="100">
        <v>2500</v>
      </c>
      <c r="I52" s="190">
        <v>2500</v>
      </c>
      <c r="J52" s="100">
        <v>2011.7619999999999</v>
      </c>
      <c r="K52" s="100">
        <f>352+133+115</f>
        <v>600</v>
      </c>
      <c r="L52" s="100">
        <f>K52+652+163+35</f>
        <v>1450</v>
      </c>
      <c r="M52" s="100">
        <f>L52+800+100</f>
        <v>2350</v>
      </c>
      <c r="N52" s="100">
        <f>M52+400+140</f>
        <v>2890</v>
      </c>
      <c r="O52" s="100">
        <f>N52/J52*100</f>
        <v>143.65516398062991</v>
      </c>
      <c r="P52" s="101">
        <f t="shared" si="5"/>
        <v>113.69269138402336</v>
      </c>
    </row>
    <row r="53" spans="1:20" ht="15" x14ac:dyDescent="0.2">
      <c r="A53" s="363"/>
      <c r="B53" s="363"/>
      <c r="C53" s="95" t="s">
        <v>131</v>
      </c>
      <c r="D53" s="357" t="s">
        <v>339</v>
      </c>
      <c r="E53" s="357"/>
      <c r="F53" s="95">
        <v>41</v>
      </c>
      <c r="G53" s="100">
        <v>10.193850000000001</v>
      </c>
      <c r="H53" s="100">
        <v>20</v>
      </c>
      <c r="I53" s="190">
        <v>20</v>
      </c>
      <c r="J53" s="100">
        <v>7.10616</v>
      </c>
      <c r="K53" s="190">
        <f>K54+K55</f>
        <v>4</v>
      </c>
      <c r="L53" s="190">
        <f>L54+L55</f>
        <v>7</v>
      </c>
      <c r="M53" s="190">
        <f>M54+M55</f>
        <v>10</v>
      </c>
      <c r="N53" s="190">
        <f>N54+N55</f>
        <v>13</v>
      </c>
      <c r="O53" s="100">
        <f t="shared" si="4"/>
        <v>182.9398718858005</v>
      </c>
      <c r="P53" s="101">
        <f t="shared" si="5"/>
        <v>69.7102664842037</v>
      </c>
    </row>
    <row r="54" spans="1:20" ht="15" x14ac:dyDescent="0.2">
      <c r="A54" s="363"/>
      <c r="B54" s="363"/>
      <c r="C54" s="95"/>
      <c r="D54" s="321" t="s">
        <v>124</v>
      </c>
      <c r="E54" s="321" t="s">
        <v>132</v>
      </c>
      <c r="F54" s="95">
        <v>42</v>
      </c>
      <c r="G54" s="100">
        <v>9.6000800000000002</v>
      </c>
      <c r="H54" s="100">
        <v>20</v>
      </c>
      <c r="I54" s="190">
        <v>20</v>
      </c>
      <c r="J54" s="102">
        <v>7.10616</v>
      </c>
      <c r="K54" s="102">
        <f>120*2*5/1000+0.8</f>
        <v>2</v>
      </c>
      <c r="L54" s="102">
        <f>K54+0</f>
        <v>2</v>
      </c>
      <c r="M54" s="102">
        <f>L54+0</f>
        <v>2</v>
      </c>
      <c r="N54" s="102">
        <f>M54+0</f>
        <v>2</v>
      </c>
      <c r="O54" s="100">
        <f t="shared" si="4"/>
        <v>28.144595674738536</v>
      </c>
      <c r="P54" s="101">
        <f t="shared" si="5"/>
        <v>74.02188315097375</v>
      </c>
    </row>
    <row r="55" spans="1:20" ht="14.25" customHeight="1" x14ac:dyDescent="0.2">
      <c r="A55" s="363"/>
      <c r="B55" s="363"/>
      <c r="C55" s="95"/>
      <c r="D55" s="321" t="s">
        <v>126</v>
      </c>
      <c r="E55" s="321" t="s">
        <v>133</v>
      </c>
      <c r="F55" s="95">
        <v>43</v>
      </c>
      <c r="G55" s="100">
        <v>0</v>
      </c>
      <c r="H55" s="100">
        <v>0</v>
      </c>
      <c r="I55" s="190">
        <v>0</v>
      </c>
      <c r="J55" s="102">
        <v>0</v>
      </c>
      <c r="K55" s="100">
        <f>2*1</f>
        <v>2</v>
      </c>
      <c r="L55" s="100">
        <f>K55+3*1</f>
        <v>5</v>
      </c>
      <c r="M55" s="100">
        <f>L55+3*1</f>
        <v>8</v>
      </c>
      <c r="N55" s="100">
        <f>M55+3*1</f>
        <v>11</v>
      </c>
      <c r="O55" s="100">
        <v>0</v>
      </c>
      <c r="P55" s="101">
        <v>0</v>
      </c>
    </row>
    <row r="56" spans="1:20" ht="15" x14ac:dyDescent="0.2">
      <c r="A56" s="363"/>
      <c r="B56" s="363"/>
      <c r="C56" s="95" t="s">
        <v>48</v>
      </c>
      <c r="D56" s="357" t="s">
        <v>134</v>
      </c>
      <c r="E56" s="357"/>
      <c r="F56" s="95">
        <v>44</v>
      </c>
      <c r="G56" s="100">
        <v>69.652720000000002</v>
      </c>
      <c r="H56" s="100">
        <v>250</v>
      </c>
      <c r="I56" s="190">
        <v>250</v>
      </c>
      <c r="J56" s="100">
        <v>130.44602</v>
      </c>
      <c r="K56" s="100">
        <f>49+11+5+5+10+10</f>
        <v>90</v>
      </c>
      <c r="L56" s="100">
        <f>K56+26+5+2+10+10+10+50</f>
        <v>203</v>
      </c>
      <c r="M56" s="100">
        <f>L56+8+5+2+10+10+10</f>
        <v>248</v>
      </c>
      <c r="N56" s="100">
        <f>M56+50+5+2+10+5+10</f>
        <v>330</v>
      </c>
      <c r="O56" s="100">
        <f t="shared" si="4"/>
        <v>252.97820508437127</v>
      </c>
      <c r="P56" s="101">
        <f t="shared" si="5"/>
        <v>187.28058286883845</v>
      </c>
    </row>
    <row r="57" spans="1:20" ht="29.25" customHeight="1" x14ac:dyDescent="0.2">
      <c r="A57" s="363"/>
      <c r="B57" s="363"/>
      <c r="C57" s="95" t="s">
        <v>135</v>
      </c>
      <c r="D57" s="357" t="s">
        <v>515</v>
      </c>
      <c r="E57" s="357"/>
      <c r="F57" s="95">
        <v>45</v>
      </c>
      <c r="G57" s="100">
        <v>3191.2084099999997</v>
      </c>
      <c r="H57" s="100">
        <v>5138</v>
      </c>
      <c r="I57" s="190">
        <v>5138</v>
      </c>
      <c r="J57" s="100">
        <v>3388.5138099999999</v>
      </c>
      <c r="K57" s="100">
        <f>K58+K59+K61+K68+K73+K74+K78+K79+K80+K89</f>
        <v>1670</v>
      </c>
      <c r="L57" s="100">
        <f>L58+L59+L61+L68+L73+L74+L78+L79+L80+L89</f>
        <v>3305</v>
      </c>
      <c r="M57" s="100">
        <f>M58+M59+M61+M68+M73+M74+M78+M79+M80+M89</f>
        <v>4735</v>
      </c>
      <c r="N57" s="100">
        <f>N58+N59+N61+N68+N73+N74+N78+N79+N80+N89</f>
        <v>6065</v>
      </c>
      <c r="O57" s="100">
        <f t="shared" si="4"/>
        <v>178.98702322243153</v>
      </c>
      <c r="P57" s="101">
        <f t="shared" si="5"/>
        <v>106.18278014628322</v>
      </c>
    </row>
    <row r="58" spans="1:20" ht="13.5" customHeight="1" x14ac:dyDescent="0.2">
      <c r="A58" s="363"/>
      <c r="B58" s="363"/>
      <c r="C58" s="95" t="s">
        <v>10</v>
      </c>
      <c r="D58" s="357" t="s">
        <v>136</v>
      </c>
      <c r="E58" s="357"/>
      <c r="F58" s="95">
        <v>46</v>
      </c>
      <c r="G58" s="100">
        <v>0</v>
      </c>
      <c r="H58" s="100">
        <v>0</v>
      </c>
      <c r="I58" s="190">
        <v>0</v>
      </c>
      <c r="J58" s="100">
        <v>0</v>
      </c>
      <c r="K58" s="100">
        <v>0</v>
      </c>
      <c r="L58" s="100">
        <v>0</v>
      </c>
      <c r="M58" s="100">
        <v>0</v>
      </c>
      <c r="N58" s="100">
        <v>0</v>
      </c>
      <c r="O58" s="100">
        <v>0</v>
      </c>
      <c r="P58" s="100">
        <v>0</v>
      </c>
    </row>
    <row r="59" spans="1:20" ht="15" x14ac:dyDescent="0.25">
      <c r="A59" s="363"/>
      <c r="B59" s="363"/>
      <c r="C59" s="95" t="s">
        <v>12</v>
      </c>
      <c r="D59" s="357" t="s">
        <v>137</v>
      </c>
      <c r="E59" s="357"/>
      <c r="F59" s="95">
        <v>47</v>
      </c>
      <c r="G59" s="100">
        <v>48.670259999999999</v>
      </c>
      <c r="H59" s="191">
        <v>150</v>
      </c>
      <c r="I59" s="190">
        <v>150</v>
      </c>
      <c r="J59" s="100">
        <v>94.237340000000003</v>
      </c>
      <c r="K59" s="100">
        <f>K60+10</f>
        <v>80</v>
      </c>
      <c r="L59" s="100">
        <f>L60+10</f>
        <v>110</v>
      </c>
      <c r="M59" s="100">
        <f>M60+10+10</f>
        <v>150</v>
      </c>
      <c r="N59" s="100">
        <f>N60+10+20</f>
        <v>180</v>
      </c>
      <c r="O59" s="100">
        <f>N59/J59*100</f>
        <v>191.00708912199769</v>
      </c>
      <c r="P59" s="101">
        <f>J59/G59*100</f>
        <v>193.62407351018877</v>
      </c>
    </row>
    <row r="60" spans="1:20" ht="15.75" customHeight="1" x14ac:dyDescent="0.2">
      <c r="A60" s="363"/>
      <c r="B60" s="363"/>
      <c r="C60" s="95"/>
      <c r="D60" s="321" t="s">
        <v>124</v>
      </c>
      <c r="E60" s="321" t="s">
        <v>138</v>
      </c>
      <c r="F60" s="95">
        <v>48</v>
      </c>
      <c r="G60" s="100">
        <v>48.670259999999999</v>
      </c>
      <c r="H60" s="100">
        <v>120</v>
      </c>
      <c r="I60" s="190">
        <v>120</v>
      </c>
      <c r="J60" s="100">
        <v>94.237340000000003</v>
      </c>
      <c r="K60" s="100">
        <f>30+20+20</f>
        <v>70</v>
      </c>
      <c r="L60" s="100">
        <f>K60+20+10</f>
        <v>100</v>
      </c>
      <c r="M60" s="100">
        <f>L60+30</f>
        <v>130</v>
      </c>
      <c r="N60" s="100">
        <f>M60+20</f>
        <v>150</v>
      </c>
      <c r="O60" s="100">
        <f>N60/J60*100</f>
        <v>159.17257426833143</v>
      </c>
      <c r="P60" s="101">
        <f>J60/G60*100</f>
        <v>193.62407351018877</v>
      </c>
    </row>
    <row r="61" spans="1:20" ht="26.25" customHeight="1" x14ac:dyDescent="0.2">
      <c r="A61" s="363"/>
      <c r="B61" s="363"/>
      <c r="C61" s="95" t="s">
        <v>48</v>
      </c>
      <c r="D61" s="357" t="s">
        <v>340</v>
      </c>
      <c r="E61" s="357"/>
      <c r="F61" s="95">
        <v>49</v>
      </c>
      <c r="G61" s="100">
        <v>59.95505</v>
      </c>
      <c r="H61" s="100">
        <v>180</v>
      </c>
      <c r="I61" s="190">
        <v>180</v>
      </c>
      <c r="J61" s="100">
        <v>52.261360000000003</v>
      </c>
      <c r="K61" s="100">
        <f>K62+K64</f>
        <v>70</v>
      </c>
      <c r="L61" s="100">
        <f>L62+L64</f>
        <v>100</v>
      </c>
      <c r="M61" s="100">
        <f>M62+M64</f>
        <v>125</v>
      </c>
      <c r="N61" s="100">
        <f>N62+N64</f>
        <v>150</v>
      </c>
      <c r="O61" s="100">
        <f>N61/J61*100</f>
        <v>287.01893712677969</v>
      </c>
      <c r="P61" s="101">
        <f>J61/G61*100</f>
        <v>87.167569704303489</v>
      </c>
    </row>
    <row r="62" spans="1:20" ht="15.75" customHeight="1" x14ac:dyDescent="0.2">
      <c r="A62" s="363"/>
      <c r="B62" s="363"/>
      <c r="C62" s="95"/>
      <c r="D62" s="321" t="s">
        <v>139</v>
      </c>
      <c r="E62" s="321" t="s">
        <v>140</v>
      </c>
      <c r="F62" s="95">
        <v>50</v>
      </c>
      <c r="G62" s="100">
        <v>9.8435100000000002</v>
      </c>
      <c r="H62" s="100">
        <v>50</v>
      </c>
      <c r="I62" s="190">
        <v>50</v>
      </c>
      <c r="J62" s="100">
        <v>18.817330000000002</v>
      </c>
      <c r="K62" s="100">
        <v>20</v>
      </c>
      <c r="L62" s="100">
        <f>K62+10</f>
        <v>30</v>
      </c>
      <c r="M62" s="100">
        <f>L62+5</f>
        <v>35</v>
      </c>
      <c r="N62" s="100">
        <f>M62+5</f>
        <v>40</v>
      </c>
      <c r="O62" s="100">
        <f>N62/J62*100</f>
        <v>212.5700086037711</v>
      </c>
      <c r="P62" s="101">
        <f>J62/G62*100</f>
        <v>191.16483855860361</v>
      </c>
    </row>
    <row r="63" spans="1:20" ht="27.75" customHeight="1" x14ac:dyDescent="0.2">
      <c r="A63" s="363"/>
      <c r="B63" s="363"/>
      <c r="C63" s="95"/>
      <c r="D63" s="321"/>
      <c r="E63" s="321" t="s">
        <v>141</v>
      </c>
      <c r="F63" s="95">
        <v>51</v>
      </c>
      <c r="G63" s="100">
        <v>0</v>
      </c>
      <c r="H63" s="100">
        <v>0</v>
      </c>
      <c r="I63" s="190">
        <v>0</v>
      </c>
      <c r="J63" s="100">
        <v>0</v>
      </c>
      <c r="K63" s="100">
        <v>0</v>
      </c>
      <c r="L63" s="100">
        <v>0</v>
      </c>
      <c r="M63" s="100">
        <v>0</v>
      </c>
      <c r="N63" s="100">
        <v>0</v>
      </c>
      <c r="O63" s="100">
        <v>0</v>
      </c>
      <c r="P63" s="100">
        <v>0</v>
      </c>
    </row>
    <row r="64" spans="1:20" ht="15" x14ac:dyDescent="0.2">
      <c r="A64" s="363"/>
      <c r="B64" s="363"/>
      <c r="C64" s="95"/>
      <c r="D64" s="321" t="s">
        <v>142</v>
      </c>
      <c r="E64" s="321" t="s">
        <v>143</v>
      </c>
      <c r="F64" s="95">
        <v>52</v>
      </c>
      <c r="G64" s="100">
        <v>50.111539999999998</v>
      </c>
      <c r="H64" s="100">
        <v>130</v>
      </c>
      <c r="I64" s="190">
        <v>130</v>
      </c>
      <c r="J64" s="100">
        <v>33.444029999999998</v>
      </c>
      <c r="K64" s="100">
        <f>K67+10+20+10</f>
        <v>50</v>
      </c>
      <c r="L64" s="100">
        <f>K64+20</f>
        <v>70</v>
      </c>
      <c r="M64" s="100">
        <f>L64+20</f>
        <v>90</v>
      </c>
      <c r="N64" s="100">
        <f>M64+20</f>
        <v>110</v>
      </c>
      <c r="O64" s="100">
        <f>N64/J64*100</f>
        <v>328.90773031838569</v>
      </c>
      <c r="P64" s="101">
        <f>J64/G64*100</f>
        <v>66.739178241179573</v>
      </c>
    </row>
    <row r="65" spans="1:16" ht="28.5" customHeight="1" x14ac:dyDescent="0.2">
      <c r="A65" s="363"/>
      <c r="B65" s="363"/>
      <c r="C65" s="95"/>
      <c r="D65" s="321"/>
      <c r="E65" s="321" t="s">
        <v>306</v>
      </c>
      <c r="F65" s="95">
        <v>53</v>
      </c>
      <c r="G65" s="100">
        <v>0</v>
      </c>
      <c r="H65" s="100">
        <v>0</v>
      </c>
      <c r="I65" s="190">
        <v>0</v>
      </c>
      <c r="J65" s="100">
        <v>0</v>
      </c>
      <c r="K65" s="100">
        <v>0</v>
      </c>
      <c r="L65" s="100">
        <v>0</v>
      </c>
      <c r="M65" s="100">
        <v>0</v>
      </c>
      <c r="N65" s="100">
        <v>0</v>
      </c>
      <c r="O65" s="100">
        <v>0</v>
      </c>
      <c r="P65" s="100">
        <v>0</v>
      </c>
    </row>
    <row r="66" spans="1:16" ht="42" customHeight="1" x14ac:dyDescent="0.2">
      <c r="A66" s="363"/>
      <c r="B66" s="363"/>
      <c r="C66" s="95"/>
      <c r="D66" s="321"/>
      <c r="E66" s="321" t="s">
        <v>144</v>
      </c>
      <c r="F66" s="95">
        <v>54</v>
      </c>
      <c r="G66" s="100">
        <v>0</v>
      </c>
      <c r="H66" s="100">
        <v>0</v>
      </c>
      <c r="I66" s="190">
        <v>0</v>
      </c>
      <c r="J66" s="100">
        <v>0</v>
      </c>
      <c r="K66" s="100">
        <v>0</v>
      </c>
      <c r="L66" s="100">
        <v>0</v>
      </c>
      <c r="M66" s="100">
        <v>0</v>
      </c>
      <c r="N66" s="100">
        <v>0</v>
      </c>
      <c r="O66" s="100">
        <v>0</v>
      </c>
      <c r="P66" s="100">
        <v>0</v>
      </c>
    </row>
    <row r="67" spans="1:16" ht="15.75" customHeight="1" x14ac:dyDescent="0.2">
      <c r="A67" s="363"/>
      <c r="B67" s="363"/>
      <c r="C67" s="95"/>
      <c r="D67" s="321"/>
      <c r="E67" s="321" t="s">
        <v>145</v>
      </c>
      <c r="F67" s="95">
        <v>55</v>
      </c>
      <c r="G67" s="100">
        <v>3.26</v>
      </c>
      <c r="H67" s="100">
        <v>10</v>
      </c>
      <c r="I67" s="190">
        <v>10</v>
      </c>
      <c r="J67" s="100">
        <v>0</v>
      </c>
      <c r="K67" s="100">
        <v>10</v>
      </c>
      <c r="L67" s="100">
        <f>K67</f>
        <v>10</v>
      </c>
      <c r="M67" s="100">
        <f>L67</f>
        <v>10</v>
      </c>
      <c r="N67" s="100">
        <f>M67</f>
        <v>10</v>
      </c>
      <c r="O67" s="100">
        <v>0</v>
      </c>
      <c r="P67" s="100">
        <v>0</v>
      </c>
    </row>
    <row r="68" spans="1:16" ht="28.5" customHeight="1" x14ac:dyDescent="0.2">
      <c r="A68" s="363"/>
      <c r="B68" s="363"/>
      <c r="C68" s="95" t="s">
        <v>57</v>
      </c>
      <c r="D68" s="371" t="s">
        <v>341</v>
      </c>
      <c r="E68" s="371"/>
      <c r="F68" s="95">
        <v>56</v>
      </c>
      <c r="G68" s="100">
        <v>85</v>
      </c>
      <c r="H68" s="100">
        <v>210</v>
      </c>
      <c r="I68" s="190">
        <v>210</v>
      </c>
      <c r="J68" s="100">
        <v>180</v>
      </c>
      <c r="K68" s="100">
        <f>K69+K70+K72</f>
        <v>200</v>
      </c>
      <c r="L68" s="100">
        <f>L69+L70+L72</f>
        <v>200</v>
      </c>
      <c r="M68" s="100">
        <f>M69+M70+M72</f>
        <v>200</v>
      </c>
      <c r="N68" s="100">
        <f>N69+N70+N72</f>
        <v>200</v>
      </c>
      <c r="O68" s="100">
        <f t="shared" ref="O68:O83" si="6">N68/J68*100</f>
        <v>111.11111111111111</v>
      </c>
      <c r="P68" s="101">
        <f>J68/G68*100</f>
        <v>211.76470588235296</v>
      </c>
    </row>
    <row r="69" spans="1:16" ht="15.75" customHeight="1" x14ac:dyDescent="0.2">
      <c r="A69" s="363"/>
      <c r="B69" s="363"/>
      <c r="C69" s="95"/>
      <c r="D69" s="321" t="s">
        <v>146</v>
      </c>
      <c r="E69" s="321" t="s">
        <v>147</v>
      </c>
      <c r="F69" s="95">
        <v>57</v>
      </c>
      <c r="G69" s="100">
        <v>84</v>
      </c>
      <c r="H69" s="100">
        <v>100</v>
      </c>
      <c r="I69" s="190">
        <v>100</v>
      </c>
      <c r="J69" s="100">
        <v>70</v>
      </c>
      <c r="K69" s="195">
        <v>90</v>
      </c>
      <c r="L69" s="195">
        <f>K69</f>
        <v>90</v>
      </c>
      <c r="M69" s="195">
        <f>L69</f>
        <v>90</v>
      </c>
      <c r="N69" s="195">
        <f>M69+0</f>
        <v>90</v>
      </c>
      <c r="O69" s="100">
        <f t="shared" si="6"/>
        <v>128.57142857142858</v>
      </c>
      <c r="P69" s="100">
        <v>0</v>
      </c>
    </row>
    <row r="70" spans="1:16" ht="29.25" customHeight="1" x14ac:dyDescent="0.2">
      <c r="A70" s="363"/>
      <c r="B70" s="363"/>
      <c r="C70" s="95"/>
      <c r="D70" s="321" t="s">
        <v>148</v>
      </c>
      <c r="E70" s="321" t="s">
        <v>149</v>
      </c>
      <c r="F70" s="95">
        <v>58</v>
      </c>
      <c r="G70" s="100">
        <v>0</v>
      </c>
      <c r="H70" s="100">
        <v>100</v>
      </c>
      <c r="I70" s="190">
        <v>100</v>
      </c>
      <c r="J70" s="100">
        <v>100</v>
      </c>
      <c r="K70" s="195">
        <v>90</v>
      </c>
      <c r="L70" s="195">
        <f>K70</f>
        <v>90</v>
      </c>
      <c r="M70" s="195">
        <f>L70</f>
        <v>90</v>
      </c>
      <c r="N70" s="195">
        <f>M70</f>
        <v>90</v>
      </c>
      <c r="O70" s="100">
        <v>0</v>
      </c>
      <c r="P70" s="100">
        <v>0</v>
      </c>
    </row>
    <row r="71" spans="1:16" ht="15" x14ac:dyDescent="0.2">
      <c r="A71" s="363"/>
      <c r="B71" s="363"/>
      <c r="C71" s="95"/>
      <c r="D71" s="321" t="s">
        <v>150</v>
      </c>
      <c r="E71" s="321" t="s">
        <v>151</v>
      </c>
      <c r="F71" s="95">
        <v>59</v>
      </c>
      <c r="G71" s="100">
        <v>0</v>
      </c>
      <c r="H71" s="100">
        <v>50</v>
      </c>
      <c r="I71" s="190">
        <v>50</v>
      </c>
      <c r="J71" s="100">
        <v>0</v>
      </c>
      <c r="K71" s="195">
        <v>0</v>
      </c>
      <c r="L71" s="195">
        <v>15</v>
      </c>
      <c r="M71" s="195">
        <f>L71</f>
        <v>15</v>
      </c>
      <c r="N71" s="195">
        <f>M71+0</f>
        <v>15</v>
      </c>
      <c r="O71" s="100">
        <v>0</v>
      </c>
      <c r="P71" s="100">
        <v>0</v>
      </c>
    </row>
    <row r="72" spans="1:16" ht="15.75" customHeight="1" x14ac:dyDescent="0.2">
      <c r="A72" s="363"/>
      <c r="B72" s="363"/>
      <c r="C72" s="95"/>
      <c r="D72" s="321" t="s">
        <v>152</v>
      </c>
      <c r="E72" s="321" t="s">
        <v>153</v>
      </c>
      <c r="F72" s="95">
        <v>60</v>
      </c>
      <c r="G72" s="100">
        <v>1</v>
      </c>
      <c r="H72" s="100">
        <v>10</v>
      </c>
      <c r="I72" s="190">
        <v>10</v>
      </c>
      <c r="J72" s="100">
        <v>10</v>
      </c>
      <c r="K72" s="195">
        <v>20</v>
      </c>
      <c r="L72" s="195">
        <f>K72</f>
        <v>20</v>
      </c>
      <c r="M72" s="195">
        <f>L72</f>
        <v>20</v>
      </c>
      <c r="N72" s="195">
        <f>M72</f>
        <v>20</v>
      </c>
      <c r="O72" s="100">
        <f>N72/J72*100</f>
        <v>200</v>
      </c>
      <c r="P72" s="100">
        <v>0</v>
      </c>
    </row>
    <row r="73" spans="1:16" ht="15" customHeight="1" x14ac:dyDescent="0.2">
      <c r="A73" s="363"/>
      <c r="B73" s="363"/>
      <c r="C73" s="95" t="s">
        <v>59</v>
      </c>
      <c r="D73" s="357" t="s">
        <v>154</v>
      </c>
      <c r="E73" s="357"/>
      <c r="F73" s="95">
        <v>61</v>
      </c>
      <c r="G73" s="100">
        <v>2.2379600000000002</v>
      </c>
      <c r="H73" s="100">
        <v>40</v>
      </c>
      <c r="I73" s="190">
        <v>40</v>
      </c>
      <c r="J73" s="100">
        <v>0.72211999999999998</v>
      </c>
      <c r="K73" s="100">
        <v>5</v>
      </c>
      <c r="L73" s="100">
        <f>K73*2</f>
        <v>10</v>
      </c>
      <c r="M73" s="100">
        <f>K73*3</f>
        <v>15</v>
      </c>
      <c r="N73" s="100">
        <f>K73*4</f>
        <v>20</v>
      </c>
      <c r="O73" s="100">
        <f t="shared" si="6"/>
        <v>2769.6227773777214</v>
      </c>
      <c r="P73" s="101">
        <f t="shared" ref="P73:P83" si="7">J73/G73*100</f>
        <v>32.266885913957353</v>
      </c>
    </row>
    <row r="74" spans="1:16" ht="15" x14ac:dyDescent="0.2">
      <c r="A74" s="363"/>
      <c r="B74" s="363"/>
      <c r="C74" s="95" t="s">
        <v>103</v>
      </c>
      <c r="D74" s="357" t="s">
        <v>410</v>
      </c>
      <c r="E74" s="357"/>
      <c r="F74" s="95">
        <v>62</v>
      </c>
      <c r="G74" s="100">
        <v>31.30855</v>
      </c>
      <c r="H74" s="100">
        <v>140</v>
      </c>
      <c r="I74" s="190">
        <v>140</v>
      </c>
      <c r="J74" s="100">
        <v>74.888049999999993</v>
      </c>
      <c r="K74" s="100">
        <f>K75+15</f>
        <v>30</v>
      </c>
      <c r="L74" s="100">
        <f>L75+15+20</f>
        <v>70</v>
      </c>
      <c r="M74" s="100">
        <f>M75+15+20+20</f>
        <v>110</v>
      </c>
      <c r="N74" s="100">
        <f>N75+15+20+20+15</f>
        <v>140</v>
      </c>
      <c r="O74" s="100">
        <f>N74/J74*100</f>
        <v>186.94571430288278</v>
      </c>
      <c r="P74" s="101">
        <f t="shared" si="7"/>
        <v>239.19360685819049</v>
      </c>
    </row>
    <row r="75" spans="1:16" ht="15.75" customHeight="1" x14ac:dyDescent="0.2">
      <c r="A75" s="363"/>
      <c r="B75" s="363"/>
      <c r="C75" s="95"/>
      <c r="D75" s="357" t="s">
        <v>342</v>
      </c>
      <c r="E75" s="357"/>
      <c r="F75" s="95">
        <v>63</v>
      </c>
      <c r="G75" s="100">
        <v>21.090139999999998</v>
      </c>
      <c r="H75" s="100">
        <v>70</v>
      </c>
      <c r="I75" s="190">
        <v>70</v>
      </c>
      <c r="J75" s="100">
        <v>35.80256</v>
      </c>
      <c r="K75" s="100">
        <f>K76+K77</f>
        <v>15</v>
      </c>
      <c r="L75" s="100">
        <f>L76+L77</f>
        <v>35</v>
      </c>
      <c r="M75" s="100">
        <f>M76+M77</f>
        <v>55</v>
      </c>
      <c r="N75" s="100">
        <f>N76+N77</f>
        <v>70</v>
      </c>
      <c r="O75" s="100">
        <f>N75/J75*100</f>
        <v>195.51674517129501</v>
      </c>
      <c r="P75" s="101">
        <f>J75/G75*100</f>
        <v>169.75970761692432</v>
      </c>
    </row>
    <row r="76" spans="1:16" ht="15" x14ac:dyDescent="0.2">
      <c r="A76" s="363"/>
      <c r="B76" s="363"/>
      <c r="C76" s="95"/>
      <c r="D76" s="372" t="s">
        <v>155</v>
      </c>
      <c r="E76" s="372"/>
      <c r="F76" s="95">
        <v>64</v>
      </c>
      <c r="G76" s="100">
        <v>19.2</v>
      </c>
      <c r="H76" s="100">
        <v>50</v>
      </c>
      <c r="I76" s="190">
        <v>50</v>
      </c>
      <c r="J76" s="100">
        <v>32</v>
      </c>
      <c r="K76" s="102">
        <v>12.5</v>
      </c>
      <c r="L76" s="102">
        <f>K76+15</f>
        <v>27.5</v>
      </c>
      <c r="M76" s="100">
        <f>L76+15+2.5</f>
        <v>45</v>
      </c>
      <c r="N76" s="100">
        <f>M76+10</f>
        <v>55</v>
      </c>
      <c r="O76" s="100">
        <f t="shared" si="6"/>
        <v>171.875</v>
      </c>
      <c r="P76" s="101">
        <f t="shared" si="7"/>
        <v>166.66666666666669</v>
      </c>
    </row>
    <row r="77" spans="1:16" ht="12.75" customHeight="1" x14ac:dyDescent="0.2">
      <c r="A77" s="363"/>
      <c r="B77" s="363"/>
      <c r="C77" s="95"/>
      <c r="D77" s="372" t="s">
        <v>156</v>
      </c>
      <c r="E77" s="372"/>
      <c r="F77" s="95">
        <v>65</v>
      </c>
      <c r="G77" s="100">
        <v>1.8901400000000002</v>
      </c>
      <c r="H77" s="100">
        <v>20</v>
      </c>
      <c r="I77" s="190">
        <v>20</v>
      </c>
      <c r="J77" s="100">
        <v>3.8025600000000002</v>
      </c>
      <c r="K77" s="102">
        <v>2.5</v>
      </c>
      <c r="L77" s="102">
        <f>K77+5</f>
        <v>7.5</v>
      </c>
      <c r="M77" s="100">
        <f>L77+2.5</f>
        <v>10</v>
      </c>
      <c r="N77" s="100">
        <f>M77+5</f>
        <v>15</v>
      </c>
      <c r="O77" s="100">
        <f t="shared" si="6"/>
        <v>394.47109315829334</v>
      </c>
      <c r="P77" s="101">
        <f t="shared" si="7"/>
        <v>201.17874866412012</v>
      </c>
    </row>
    <row r="78" spans="1:16" ht="16.5" customHeight="1" x14ac:dyDescent="0.2">
      <c r="A78" s="363"/>
      <c r="B78" s="363"/>
      <c r="C78" s="95" t="s">
        <v>157</v>
      </c>
      <c r="D78" s="357" t="s">
        <v>158</v>
      </c>
      <c r="E78" s="357"/>
      <c r="F78" s="95">
        <v>66</v>
      </c>
      <c r="G78" s="100">
        <v>132.55928</v>
      </c>
      <c r="H78" s="100">
        <v>200</v>
      </c>
      <c r="I78" s="190">
        <v>200</v>
      </c>
      <c r="J78" s="100">
        <v>142.24932000000001</v>
      </c>
      <c r="K78" s="100">
        <f>45+5+15</f>
        <v>65</v>
      </c>
      <c r="L78" s="100">
        <f>K78+45+5+15+40</f>
        <v>170</v>
      </c>
      <c r="M78" s="100">
        <f>L78+45+5+15</f>
        <v>235</v>
      </c>
      <c r="N78" s="100">
        <f>M78+45+5+15</f>
        <v>300</v>
      </c>
      <c r="O78" s="100">
        <f t="shared" si="6"/>
        <v>210.89731747048069</v>
      </c>
      <c r="P78" s="101">
        <f>J78/G78*100</f>
        <v>107.30996728407096</v>
      </c>
    </row>
    <row r="79" spans="1:16" ht="16.5" customHeight="1" x14ac:dyDescent="0.2">
      <c r="A79" s="363"/>
      <c r="B79" s="363"/>
      <c r="C79" s="95" t="s">
        <v>159</v>
      </c>
      <c r="D79" s="357" t="s">
        <v>160</v>
      </c>
      <c r="E79" s="357"/>
      <c r="F79" s="95">
        <v>67</v>
      </c>
      <c r="G79" s="100">
        <v>84.545529999999999</v>
      </c>
      <c r="H79" s="100">
        <v>150</v>
      </c>
      <c r="I79" s="190">
        <v>150</v>
      </c>
      <c r="J79" s="100">
        <v>99.011870000000002</v>
      </c>
      <c r="K79" s="100">
        <v>45</v>
      </c>
      <c r="L79" s="100">
        <f>K79+35</f>
        <v>80</v>
      </c>
      <c r="M79" s="100">
        <f>L79+45</f>
        <v>125</v>
      </c>
      <c r="N79" s="100">
        <f>M79+30+20</f>
        <v>175</v>
      </c>
      <c r="O79" s="100">
        <f t="shared" si="6"/>
        <v>176.74648504265195</v>
      </c>
      <c r="P79" s="101">
        <f t="shared" si="7"/>
        <v>117.11070946033458</v>
      </c>
    </row>
    <row r="80" spans="1:16" ht="16.5" customHeight="1" x14ac:dyDescent="0.2">
      <c r="A80" s="363"/>
      <c r="B80" s="363"/>
      <c r="C80" s="95" t="s">
        <v>161</v>
      </c>
      <c r="D80" s="357" t="s">
        <v>162</v>
      </c>
      <c r="E80" s="357"/>
      <c r="F80" s="95">
        <v>68</v>
      </c>
      <c r="G80" s="100">
        <v>554.05117999999993</v>
      </c>
      <c r="H80" s="100">
        <v>900</v>
      </c>
      <c r="I80" s="190">
        <v>900</v>
      </c>
      <c r="J80" s="100">
        <v>511.72035999999997</v>
      </c>
      <c r="K80" s="100">
        <f>K81+K82+K83+K84+K86+K87+K88</f>
        <v>175</v>
      </c>
      <c r="L80" s="100">
        <f>L81+L82+L83+L84+L86+L87+L88</f>
        <v>365</v>
      </c>
      <c r="M80" s="100">
        <f>M81+M82+M83+M84+M86+M87+M88</f>
        <v>575</v>
      </c>
      <c r="N80" s="100">
        <f>N81+N82+N83+N84+N86+N87+N88</f>
        <v>800</v>
      </c>
      <c r="O80" s="100">
        <f t="shared" si="6"/>
        <v>156.3353859908955</v>
      </c>
      <c r="P80" s="101">
        <f t="shared" si="7"/>
        <v>92.359763587183423</v>
      </c>
    </row>
    <row r="81" spans="1:22" ht="15" x14ac:dyDescent="0.2">
      <c r="A81" s="363"/>
      <c r="B81" s="363"/>
      <c r="C81" s="95"/>
      <c r="D81" s="321" t="s">
        <v>163</v>
      </c>
      <c r="E81" s="321" t="s">
        <v>164</v>
      </c>
      <c r="F81" s="95">
        <v>69</v>
      </c>
      <c r="G81" s="100">
        <v>421.21078</v>
      </c>
      <c r="H81" s="100">
        <v>600</v>
      </c>
      <c r="I81" s="190">
        <v>600</v>
      </c>
      <c r="J81" s="100">
        <v>391.52990999999997</v>
      </c>
      <c r="K81" s="100">
        <f>5+35*3</f>
        <v>110</v>
      </c>
      <c r="L81" s="100">
        <f>K81+40*3+5</f>
        <v>235</v>
      </c>
      <c r="M81" s="100">
        <f>L81+45*3+10</f>
        <v>380</v>
      </c>
      <c r="N81" s="100">
        <f>M81+45*3+10+15</f>
        <v>540</v>
      </c>
      <c r="O81" s="100">
        <f t="shared" si="6"/>
        <v>137.92049756811684</v>
      </c>
      <c r="P81" s="101">
        <f t="shared" si="7"/>
        <v>92.953440080522157</v>
      </c>
    </row>
    <row r="82" spans="1:22" ht="27.75" customHeight="1" x14ac:dyDescent="0.2">
      <c r="A82" s="363"/>
      <c r="B82" s="363"/>
      <c r="C82" s="95"/>
      <c r="D82" s="321" t="s">
        <v>165</v>
      </c>
      <c r="E82" s="321" t="s">
        <v>166</v>
      </c>
      <c r="F82" s="95">
        <v>70</v>
      </c>
      <c r="G82" s="100">
        <v>88.514009999999999</v>
      </c>
      <c r="H82" s="100">
        <v>200</v>
      </c>
      <c r="I82" s="190">
        <v>200</v>
      </c>
      <c r="J82" s="100">
        <v>101.41045</v>
      </c>
      <c r="K82" s="100">
        <f>(7.5+2.5)*3+15+5</f>
        <v>50</v>
      </c>
      <c r="L82" s="100">
        <f>K82+(7.5+2.5)*3+15+5</f>
        <v>100</v>
      </c>
      <c r="M82" s="100">
        <f>L82+(7.5+2.5)*3+10+10</f>
        <v>150</v>
      </c>
      <c r="N82" s="100">
        <f>M82+(7.5+2.5)*3+20</f>
        <v>200</v>
      </c>
      <c r="O82" s="100">
        <f t="shared" si="6"/>
        <v>197.2183340079844</v>
      </c>
      <c r="P82" s="101">
        <f t="shared" si="7"/>
        <v>114.56994209165305</v>
      </c>
    </row>
    <row r="83" spans="1:22" ht="15.75" customHeight="1" x14ac:dyDescent="0.2">
      <c r="A83" s="363"/>
      <c r="B83" s="363"/>
      <c r="C83" s="95"/>
      <c r="D83" s="321" t="s">
        <v>167</v>
      </c>
      <c r="E83" s="321" t="s">
        <v>168</v>
      </c>
      <c r="F83" s="95">
        <v>71</v>
      </c>
      <c r="G83" s="100">
        <v>44.326389999999996</v>
      </c>
      <c r="H83" s="100">
        <v>80</v>
      </c>
      <c r="I83" s="190">
        <v>80</v>
      </c>
      <c r="J83" s="100">
        <v>10.98</v>
      </c>
      <c r="K83" s="100">
        <v>15</v>
      </c>
      <c r="L83" s="100">
        <f>K83*2</f>
        <v>30</v>
      </c>
      <c r="M83" s="100">
        <f>K83*3</f>
        <v>45</v>
      </c>
      <c r="N83" s="100">
        <f>K83*4</f>
        <v>60</v>
      </c>
      <c r="O83" s="100">
        <f t="shared" si="6"/>
        <v>546.44808743169392</v>
      </c>
      <c r="P83" s="101">
        <f t="shared" si="7"/>
        <v>24.770796809755996</v>
      </c>
    </row>
    <row r="84" spans="1:22" ht="27.75" customHeight="1" x14ac:dyDescent="0.2">
      <c r="A84" s="363"/>
      <c r="B84" s="363"/>
      <c r="C84" s="95"/>
      <c r="D84" s="321" t="s">
        <v>169</v>
      </c>
      <c r="E84" s="321" t="s">
        <v>170</v>
      </c>
      <c r="F84" s="95">
        <v>72</v>
      </c>
      <c r="G84" s="100">
        <v>0</v>
      </c>
      <c r="H84" s="100">
        <v>0</v>
      </c>
      <c r="I84" s="190">
        <v>0</v>
      </c>
      <c r="J84" s="100">
        <v>0</v>
      </c>
      <c r="K84" s="100">
        <v>0</v>
      </c>
      <c r="L84" s="100">
        <v>0</v>
      </c>
      <c r="M84" s="100">
        <v>0</v>
      </c>
      <c r="N84" s="100">
        <v>0</v>
      </c>
      <c r="O84" s="100">
        <v>0</v>
      </c>
      <c r="P84" s="100">
        <v>0</v>
      </c>
    </row>
    <row r="85" spans="1:22" ht="15" x14ac:dyDescent="0.2">
      <c r="A85" s="363"/>
      <c r="B85" s="363"/>
      <c r="C85" s="95"/>
      <c r="D85" s="321"/>
      <c r="E85" s="321" t="s">
        <v>411</v>
      </c>
      <c r="F85" s="95">
        <v>73</v>
      </c>
      <c r="G85" s="100">
        <v>0</v>
      </c>
      <c r="H85" s="100">
        <v>0</v>
      </c>
      <c r="I85" s="190">
        <v>0</v>
      </c>
      <c r="J85" s="100">
        <v>0</v>
      </c>
      <c r="K85" s="100">
        <v>0</v>
      </c>
      <c r="L85" s="100">
        <v>0</v>
      </c>
      <c r="M85" s="100">
        <v>0</v>
      </c>
      <c r="N85" s="100">
        <v>0</v>
      </c>
      <c r="O85" s="100">
        <v>0</v>
      </c>
      <c r="P85" s="100">
        <v>0</v>
      </c>
    </row>
    <row r="86" spans="1:22" ht="15" x14ac:dyDescent="0.2">
      <c r="A86" s="363"/>
      <c r="B86" s="363"/>
      <c r="C86" s="95"/>
      <c r="D86" s="321" t="s">
        <v>171</v>
      </c>
      <c r="E86" s="321" t="s">
        <v>172</v>
      </c>
      <c r="F86" s="95">
        <v>74</v>
      </c>
      <c r="G86" s="100">
        <v>0</v>
      </c>
      <c r="H86" s="100">
        <v>0</v>
      </c>
      <c r="I86" s="190">
        <v>0</v>
      </c>
      <c r="J86" s="100">
        <v>0</v>
      </c>
      <c r="K86" s="100">
        <v>0</v>
      </c>
      <c r="L86" s="100">
        <v>0</v>
      </c>
      <c r="M86" s="100">
        <v>0</v>
      </c>
      <c r="N86" s="100">
        <v>0</v>
      </c>
      <c r="O86" s="100">
        <v>0</v>
      </c>
      <c r="P86" s="100">
        <v>0</v>
      </c>
    </row>
    <row r="87" spans="1:22" ht="30" x14ac:dyDescent="0.2">
      <c r="A87" s="363"/>
      <c r="B87" s="363"/>
      <c r="C87" s="95"/>
      <c r="D87" s="321" t="s">
        <v>173</v>
      </c>
      <c r="E87" s="321" t="s">
        <v>376</v>
      </c>
      <c r="F87" s="95">
        <v>75</v>
      </c>
      <c r="G87" s="100">
        <v>0</v>
      </c>
      <c r="H87" s="100">
        <v>20</v>
      </c>
      <c r="I87" s="190">
        <v>20</v>
      </c>
      <c r="J87" s="100">
        <v>7.8</v>
      </c>
      <c r="K87" s="100">
        <v>0</v>
      </c>
      <c r="L87" s="100">
        <v>0</v>
      </c>
      <c r="M87" s="100">
        <v>0</v>
      </c>
      <c r="N87" s="100">
        <v>0</v>
      </c>
      <c r="O87" s="100">
        <v>0</v>
      </c>
      <c r="P87" s="101">
        <v>0</v>
      </c>
    </row>
    <row r="88" spans="1:22" ht="16.5" customHeight="1" x14ac:dyDescent="0.2">
      <c r="A88" s="363"/>
      <c r="B88" s="363"/>
      <c r="C88" s="95"/>
      <c r="D88" s="321" t="s">
        <v>174</v>
      </c>
      <c r="E88" s="321" t="s">
        <v>175</v>
      </c>
      <c r="F88" s="95">
        <v>76</v>
      </c>
      <c r="G88" s="100">
        <v>0</v>
      </c>
      <c r="H88" s="100">
        <v>0</v>
      </c>
      <c r="I88" s="190">
        <v>0</v>
      </c>
      <c r="J88" s="100">
        <v>0</v>
      </c>
      <c r="K88" s="100">
        <v>0</v>
      </c>
      <c r="L88" s="100">
        <v>0</v>
      </c>
      <c r="M88" s="100">
        <v>0</v>
      </c>
      <c r="N88" s="100">
        <v>0</v>
      </c>
      <c r="O88" s="100">
        <v>0</v>
      </c>
      <c r="P88" s="101">
        <v>0</v>
      </c>
    </row>
    <row r="89" spans="1:22" ht="16.5" customHeight="1" x14ac:dyDescent="0.2">
      <c r="A89" s="363"/>
      <c r="B89" s="363"/>
      <c r="C89" s="95" t="s">
        <v>176</v>
      </c>
      <c r="D89" s="357" t="s">
        <v>60</v>
      </c>
      <c r="E89" s="357"/>
      <c r="F89" s="95">
        <v>77</v>
      </c>
      <c r="G89" s="100">
        <v>2192.8806</v>
      </c>
      <c r="H89" s="100">
        <v>3168</v>
      </c>
      <c r="I89" s="190">
        <v>3168</v>
      </c>
      <c r="J89" s="100">
        <v>2233.4233899999999</v>
      </c>
      <c r="K89" s="100">
        <f>600+200+200</f>
        <v>1000</v>
      </c>
      <c r="L89" s="100">
        <f>K89*2+200</f>
        <v>2200</v>
      </c>
      <c r="M89" s="100">
        <f>L89+800+200</f>
        <v>3200</v>
      </c>
      <c r="N89" s="100">
        <f>M89+800+100</f>
        <v>4100</v>
      </c>
      <c r="O89" s="100">
        <f>N89/J89*100</f>
        <v>183.57468710847522</v>
      </c>
      <c r="P89" s="101">
        <f>J89/G89*100</f>
        <v>101.84883709582728</v>
      </c>
      <c r="Q89" s="376"/>
      <c r="R89" s="377"/>
      <c r="S89" s="377"/>
      <c r="T89" s="377"/>
      <c r="U89" s="377"/>
      <c r="V89" s="377"/>
    </row>
    <row r="90" spans="1:22" ht="29.25" customHeight="1" x14ac:dyDescent="0.2">
      <c r="A90" s="363"/>
      <c r="B90" s="363"/>
      <c r="C90" s="357" t="s">
        <v>343</v>
      </c>
      <c r="D90" s="357"/>
      <c r="E90" s="357"/>
      <c r="F90" s="95">
        <v>78</v>
      </c>
      <c r="G90" s="100">
        <v>12110.08309</v>
      </c>
      <c r="H90" s="100">
        <v>12560</v>
      </c>
      <c r="I90" s="190">
        <v>12560</v>
      </c>
      <c r="J90" s="100">
        <v>11983.472659999999</v>
      </c>
      <c r="K90" s="100">
        <f>K91+K92+K93+K94+K95+K96</f>
        <v>3335</v>
      </c>
      <c r="L90" s="100">
        <f>L91+L92+L93+L94+L95+L96</f>
        <v>10090</v>
      </c>
      <c r="M90" s="100">
        <f>M91+M92+M93+M94+M95+M96</f>
        <v>17095</v>
      </c>
      <c r="N90" s="100">
        <f>N91+N92+N93+N94+N95+N96</f>
        <v>23820</v>
      </c>
      <c r="O90" s="100">
        <f>N90/J90*100</f>
        <v>198.7737668022518</v>
      </c>
      <c r="P90" s="101">
        <f>J90/G90*100</f>
        <v>98.954504035529283</v>
      </c>
    </row>
    <row r="91" spans="1:22" ht="15" x14ac:dyDescent="0.2">
      <c r="A91" s="363"/>
      <c r="B91" s="363"/>
      <c r="C91" s="95" t="s">
        <v>10</v>
      </c>
      <c r="D91" s="357" t="s">
        <v>177</v>
      </c>
      <c r="E91" s="357"/>
      <c r="F91" s="95">
        <v>79</v>
      </c>
      <c r="G91" s="100">
        <v>0</v>
      </c>
      <c r="H91" s="100">
        <v>0</v>
      </c>
      <c r="I91" s="190">
        <v>0</v>
      </c>
      <c r="J91" s="100">
        <v>0</v>
      </c>
      <c r="K91" s="100">
        <v>0</v>
      </c>
      <c r="L91" s="100">
        <v>0</v>
      </c>
      <c r="M91" s="100">
        <v>0</v>
      </c>
      <c r="N91" s="100">
        <v>0</v>
      </c>
      <c r="O91" s="100">
        <v>0</v>
      </c>
      <c r="P91" s="101">
        <v>0</v>
      </c>
    </row>
    <row r="92" spans="1:22" ht="27" customHeight="1" x14ac:dyDescent="0.2">
      <c r="A92" s="363"/>
      <c r="B92" s="363"/>
      <c r="C92" s="95" t="s">
        <v>12</v>
      </c>
      <c r="D92" s="357" t="s">
        <v>178</v>
      </c>
      <c r="E92" s="357"/>
      <c r="F92" s="95">
        <v>80</v>
      </c>
      <c r="G92" s="100">
        <v>11142</v>
      </c>
      <c r="H92" s="100">
        <v>11340</v>
      </c>
      <c r="I92" s="190">
        <v>11340</v>
      </c>
      <c r="J92" s="100">
        <v>11154.7</v>
      </c>
      <c r="K92" s="195">
        <f>945*3</f>
        <v>2835</v>
      </c>
      <c r="L92" s="195">
        <f>K92+2185*3</f>
        <v>9390</v>
      </c>
      <c r="M92" s="195">
        <f>L92+2185*3</f>
        <v>15945</v>
      </c>
      <c r="N92" s="195">
        <f>M92+2185*3</f>
        <v>22500</v>
      </c>
      <c r="O92" s="100">
        <f>N92/J92*100</f>
        <v>201.70869678252217</v>
      </c>
      <c r="P92" s="101">
        <f>J92/G92*100</f>
        <v>100.1139831269072</v>
      </c>
    </row>
    <row r="93" spans="1:22" ht="15" customHeight="1" x14ac:dyDescent="0.2">
      <c r="A93" s="363"/>
      <c r="B93" s="363"/>
      <c r="C93" s="95" t="s">
        <v>48</v>
      </c>
      <c r="D93" s="357" t="s">
        <v>344</v>
      </c>
      <c r="E93" s="357"/>
      <c r="F93" s="95">
        <v>81</v>
      </c>
      <c r="G93" s="100">
        <v>0</v>
      </c>
      <c r="H93" s="100">
        <v>0</v>
      </c>
      <c r="I93" s="190">
        <v>0</v>
      </c>
      <c r="J93" s="100">
        <v>0</v>
      </c>
      <c r="K93" s="100">
        <v>0</v>
      </c>
      <c r="L93" s="100">
        <v>0</v>
      </c>
      <c r="M93" s="100">
        <v>0</v>
      </c>
      <c r="N93" s="100">
        <v>0</v>
      </c>
      <c r="O93" s="100">
        <v>0</v>
      </c>
      <c r="P93" s="100">
        <v>0</v>
      </c>
    </row>
    <row r="94" spans="1:22" ht="15" customHeight="1" x14ac:dyDescent="0.2">
      <c r="A94" s="363"/>
      <c r="B94" s="363"/>
      <c r="C94" s="95" t="s">
        <v>57</v>
      </c>
      <c r="D94" s="357" t="s">
        <v>179</v>
      </c>
      <c r="E94" s="357"/>
      <c r="F94" s="95">
        <v>82</v>
      </c>
      <c r="G94" s="100">
        <v>0</v>
      </c>
      <c r="H94" s="100">
        <v>0</v>
      </c>
      <c r="I94" s="190">
        <v>0</v>
      </c>
      <c r="J94" s="100">
        <v>0</v>
      </c>
      <c r="K94" s="100">
        <v>0</v>
      </c>
      <c r="L94" s="100">
        <v>0</v>
      </c>
      <c r="M94" s="100">
        <v>0</v>
      </c>
      <c r="N94" s="100">
        <v>0</v>
      </c>
      <c r="O94" s="100">
        <v>0</v>
      </c>
      <c r="P94" s="100">
        <v>0</v>
      </c>
    </row>
    <row r="95" spans="1:22" ht="15" customHeight="1" x14ac:dyDescent="0.2">
      <c r="A95" s="363"/>
      <c r="B95" s="363"/>
      <c r="C95" s="95" t="s">
        <v>59</v>
      </c>
      <c r="D95" s="357" t="s">
        <v>180</v>
      </c>
      <c r="E95" s="357"/>
      <c r="F95" s="95">
        <v>83</v>
      </c>
      <c r="G95" s="100">
        <v>0</v>
      </c>
      <c r="H95" s="100">
        <v>0</v>
      </c>
      <c r="I95" s="190">
        <v>0</v>
      </c>
      <c r="J95" s="100">
        <v>0</v>
      </c>
      <c r="K95" s="100">
        <v>0</v>
      </c>
      <c r="L95" s="100">
        <v>0</v>
      </c>
      <c r="M95" s="100">
        <v>0</v>
      </c>
      <c r="N95" s="100">
        <v>0</v>
      </c>
      <c r="O95" s="100">
        <v>0</v>
      </c>
      <c r="P95" s="100">
        <v>0</v>
      </c>
    </row>
    <row r="96" spans="1:22" ht="15" customHeight="1" x14ac:dyDescent="0.2">
      <c r="A96" s="363"/>
      <c r="B96" s="363"/>
      <c r="C96" s="95" t="s">
        <v>103</v>
      </c>
      <c r="D96" s="357" t="s">
        <v>461</v>
      </c>
      <c r="E96" s="357"/>
      <c r="F96" s="95">
        <v>84</v>
      </c>
      <c r="G96" s="100">
        <v>968.08308999999997</v>
      </c>
      <c r="H96" s="100">
        <v>1220</v>
      </c>
      <c r="I96" s="190">
        <v>1220</v>
      </c>
      <c r="J96" s="100">
        <v>828.77266000000009</v>
      </c>
      <c r="K96" s="100">
        <f>300+120+50+30</f>
        <v>500</v>
      </c>
      <c r="L96" s="100">
        <f>K96+120+50+30</f>
        <v>700</v>
      </c>
      <c r="M96" s="100">
        <f>L96+240+120+50+40</f>
        <v>1150</v>
      </c>
      <c r="N96" s="100">
        <f>M96+120+50</f>
        <v>1320</v>
      </c>
      <c r="O96" s="100">
        <f t="shared" ref="O96:O99" si="8">N96/J96*100</f>
        <v>159.27166323271328</v>
      </c>
      <c r="P96" s="101">
        <f t="shared" ref="P96:P101" si="9">J96/G96*100</f>
        <v>85.609661873135295</v>
      </c>
      <c r="Q96" s="47"/>
    </row>
    <row r="97" spans="1:18" ht="15" x14ac:dyDescent="0.2">
      <c r="A97" s="363"/>
      <c r="B97" s="363"/>
      <c r="C97" s="371" t="s">
        <v>345</v>
      </c>
      <c r="D97" s="371"/>
      <c r="E97" s="371"/>
      <c r="F97" s="95">
        <v>85</v>
      </c>
      <c r="G97" s="100">
        <v>30331.863819999999</v>
      </c>
      <c r="H97" s="100">
        <v>35539.270124999995</v>
      </c>
      <c r="I97" s="190">
        <v>35539.270124999995</v>
      </c>
      <c r="J97" s="100">
        <v>33952.663829999998</v>
      </c>
      <c r="K97" s="100">
        <f>K98+K111+K115+K124</f>
        <v>10903.3183875</v>
      </c>
      <c r="L97" s="100">
        <f>L98+L111+L115+L124</f>
        <v>23632.482775000004</v>
      </c>
      <c r="M97" s="100">
        <f>M98+M111+M115+M124</f>
        <v>34379.874662499999</v>
      </c>
      <c r="N97" s="100">
        <f>N98+N111+N115+N124</f>
        <v>46950.571550000001</v>
      </c>
      <c r="O97" s="100">
        <f>N97/J97*100</f>
        <v>138.28243870666569</v>
      </c>
      <c r="P97" s="101">
        <f>J97/G97*100</f>
        <v>111.93728163718228</v>
      </c>
    </row>
    <row r="98" spans="1:18" ht="15.2" customHeight="1" x14ac:dyDescent="0.2">
      <c r="A98" s="363"/>
      <c r="B98" s="363"/>
      <c r="C98" s="95" t="s">
        <v>21</v>
      </c>
      <c r="D98" s="357" t="s">
        <v>346</v>
      </c>
      <c r="E98" s="357"/>
      <c r="F98" s="95">
        <v>86</v>
      </c>
      <c r="G98" s="100">
        <v>28725.481820000001</v>
      </c>
      <c r="H98" s="100">
        <v>33443.599999999999</v>
      </c>
      <c r="I98" s="190">
        <v>33443.599999999999</v>
      </c>
      <c r="J98" s="100">
        <v>32074.615829999999</v>
      </c>
      <c r="K98" s="100">
        <f>K99+K103</f>
        <v>10352.200000000001</v>
      </c>
      <c r="L98" s="100">
        <f>L99+L103</f>
        <v>22428.400000000001</v>
      </c>
      <c r="M98" s="100">
        <f>M99+M103</f>
        <v>32538.6</v>
      </c>
      <c r="N98" s="100">
        <f>N99+N103</f>
        <v>44422.8</v>
      </c>
      <c r="O98" s="100">
        <f t="shared" si="8"/>
        <v>138.49830730770753</v>
      </c>
      <c r="P98" s="101">
        <f t="shared" si="9"/>
        <v>111.65910473142414</v>
      </c>
      <c r="Q98" s="188"/>
      <c r="R98" s="207"/>
    </row>
    <row r="99" spans="1:18" ht="15" x14ac:dyDescent="0.2">
      <c r="A99" s="363"/>
      <c r="B99" s="363"/>
      <c r="C99" s="95" t="s">
        <v>22</v>
      </c>
      <c r="D99" s="357" t="s">
        <v>347</v>
      </c>
      <c r="E99" s="357"/>
      <c r="F99" s="95">
        <v>87</v>
      </c>
      <c r="G99" s="100">
        <v>25301.280000000002</v>
      </c>
      <c r="H99" s="100">
        <v>30002</v>
      </c>
      <c r="I99" s="190">
        <v>30002</v>
      </c>
      <c r="J99" s="100">
        <v>28923.923999999999</v>
      </c>
      <c r="K99" s="100">
        <f>K100+K101+K102</f>
        <v>9410</v>
      </c>
      <c r="L99" s="100">
        <f>L100+L101+L102</f>
        <v>18756</v>
      </c>
      <c r="M99" s="100">
        <f>M100+M101+M102</f>
        <v>28051</v>
      </c>
      <c r="N99" s="100">
        <f>N100+N101+N102</f>
        <v>39008</v>
      </c>
      <c r="O99" s="100">
        <f t="shared" si="8"/>
        <v>134.86413530888825</v>
      </c>
      <c r="P99" s="101">
        <f t="shared" si="9"/>
        <v>114.31802659786381</v>
      </c>
      <c r="Q99" s="180"/>
    </row>
    <row r="100" spans="1:18" ht="15" x14ac:dyDescent="0.2">
      <c r="A100" s="363"/>
      <c r="B100" s="363"/>
      <c r="C100" s="363"/>
      <c r="D100" s="357" t="s">
        <v>181</v>
      </c>
      <c r="E100" s="357"/>
      <c r="F100" s="95">
        <v>88</v>
      </c>
      <c r="G100" s="100">
        <v>18623.008000000002</v>
      </c>
      <c r="H100" s="100">
        <v>22197</v>
      </c>
      <c r="I100" s="190">
        <v>22197</v>
      </c>
      <c r="J100" s="100">
        <v>21704.419000000002</v>
      </c>
      <c r="K100" s="100">
        <v>6851</v>
      </c>
      <c r="L100" s="100">
        <f>K100+6851</f>
        <v>13702</v>
      </c>
      <c r="M100" s="100">
        <f>L100+6851</f>
        <v>20553</v>
      </c>
      <c r="N100" s="100">
        <f>M100+8055</f>
        <v>28608</v>
      </c>
      <c r="O100" s="100">
        <f>N100/J100*100</f>
        <v>131.80726007915715</v>
      </c>
      <c r="P100" s="101">
        <f>J100/G100*100</f>
        <v>116.54625826289717</v>
      </c>
      <c r="Q100" s="180"/>
    </row>
    <row r="101" spans="1:18" ht="27" customHeight="1" x14ac:dyDescent="0.2">
      <c r="A101" s="363"/>
      <c r="B101" s="363"/>
      <c r="C101" s="363"/>
      <c r="D101" s="357" t="s">
        <v>519</v>
      </c>
      <c r="E101" s="357"/>
      <c r="F101" s="95">
        <v>89</v>
      </c>
      <c r="G101" s="100">
        <v>6678.2719999999999</v>
      </c>
      <c r="H101" s="100">
        <v>7805</v>
      </c>
      <c r="I101" s="190">
        <v>7805</v>
      </c>
      <c r="J101" s="100">
        <v>7219.5050000000001</v>
      </c>
      <c r="K101" s="100">
        <v>2559</v>
      </c>
      <c r="L101" s="100">
        <f>K101+2495</f>
        <v>5054</v>
      </c>
      <c r="M101" s="100">
        <f>L101+2444</f>
        <v>7498</v>
      </c>
      <c r="N101" s="100">
        <f>M101+2902</f>
        <v>10400</v>
      </c>
      <c r="O101" s="100">
        <f>N101/J101*100</f>
        <v>144.05419762158209</v>
      </c>
      <c r="P101" s="101">
        <f t="shared" si="9"/>
        <v>108.10438688331354</v>
      </c>
    </row>
    <row r="102" spans="1:18" ht="12.75" customHeight="1" x14ac:dyDescent="0.2">
      <c r="A102" s="363"/>
      <c r="B102" s="363"/>
      <c r="C102" s="363"/>
      <c r="D102" s="357" t="s">
        <v>182</v>
      </c>
      <c r="E102" s="357"/>
      <c r="F102" s="95">
        <v>90</v>
      </c>
      <c r="G102" s="100">
        <v>0</v>
      </c>
      <c r="H102" s="100">
        <v>0</v>
      </c>
      <c r="I102" s="190">
        <v>0</v>
      </c>
      <c r="J102" s="100">
        <v>0</v>
      </c>
      <c r="K102" s="100">
        <v>0</v>
      </c>
      <c r="L102" s="100">
        <v>0</v>
      </c>
      <c r="M102" s="100">
        <v>0</v>
      </c>
      <c r="N102" s="100">
        <v>0</v>
      </c>
      <c r="O102" s="100">
        <v>0</v>
      </c>
      <c r="P102" s="100">
        <v>0</v>
      </c>
    </row>
    <row r="103" spans="1:18" ht="15" x14ac:dyDescent="0.2">
      <c r="A103" s="363"/>
      <c r="B103" s="363"/>
      <c r="C103" s="95" t="s">
        <v>24</v>
      </c>
      <c r="D103" s="357" t="s">
        <v>348</v>
      </c>
      <c r="E103" s="357"/>
      <c r="F103" s="95">
        <v>91</v>
      </c>
      <c r="G103" s="100">
        <v>3424.2018199999998</v>
      </c>
      <c r="H103" s="100">
        <v>3441.6</v>
      </c>
      <c r="I103" s="190">
        <v>3441.6</v>
      </c>
      <c r="J103" s="100">
        <v>3150.6918300000002</v>
      </c>
      <c r="K103" s="100">
        <f>K104+K107+K108+K109+K110</f>
        <v>942.2</v>
      </c>
      <c r="L103" s="100">
        <f>L104+L107+L108+L109+L110</f>
        <v>3672.4</v>
      </c>
      <c r="M103" s="100">
        <f>M104+M107+M108+M109+M110</f>
        <v>4487.6000000000004</v>
      </c>
      <c r="N103" s="100">
        <f>N104+N107+N108+N109+N110</f>
        <v>5414.8</v>
      </c>
      <c r="O103" s="100">
        <f>N103/J103*100</f>
        <v>171.86066718559397</v>
      </c>
      <c r="P103" s="101">
        <f>J103/G103*100</f>
        <v>92.012445399611423</v>
      </c>
    </row>
    <row r="104" spans="1:18" ht="33" customHeight="1" x14ac:dyDescent="0.2">
      <c r="A104" s="363"/>
      <c r="B104" s="363"/>
      <c r="C104" s="95"/>
      <c r="D104" s="357" t="s">
        <v>516</v>
      </c>
      <c r="E104" s="357"/>
      <c r="F104" s="95">
        <v>92</v>
      </c>
      <c r="G104" s="100">
        <v>284.71940000000001</v>
      </c>
      <c r="H104" s="100">
        <v>453.6</v>
      </c>
      <c r="I104" s="190">
        <v>453.6</v>
      </c>
      <c r="J104" s="100">
        <v>405.49808000000002</v>
      </c>
      <c r="K104" s="100">
        <f>K106+40.2</f>
        <v>202.2</v>
      </c>
      <c r="L104" s="100">
        <f>L106+40.2*2</f>
        <v>242.4</v>
      </c>
      <c r="M104" s="100">
        <f>M106+40.2*3</f>
        <v>282.60000000000002</v>
      </c>
      <c r="N104" s="100">
        <f>N106+40.2*4+40</f>
        <v>494.8</v>
      </c>
      <c r="O104" s="100">
        <f>N104/J104*100</f>
        <v>122.02277258624751</v>
      </c>
      <c r="P104" s="101">
        <f>J104/G104*100</f>
        <v>142.42024955096139</v>
      </c>
      <c r="Q104" s="211"/>
    </row>
    <row r="105" spans="1:18" ht="26.25" customHeight="1" x14ac:dyDescent="0.2">
      <c r="A105" s="363"/>
      <c r="B105" s="363"/>
      <c r="C105" s="95"/>
      <c r="D105" s="321"/>
      <c r="E105" s="321" t="s">
        <v>183</v>
      </c>
      <c r="F105" s="95">
        <v>93</v>
      </c>
      <c r="G105" s="100">
        <v>0</v>
      </c>
      <c r="H105" s="100">
        <v>0</v>
      </c>
      <c r="I105" s="190">
        <v>0</v>
      </c>
      <c r="J105" s="100">
        <v>0</v>
      </c>
      <c r="K105" s="100">
        <v>0</v>
      </c>
      <c r="L105" s="100">
        <v>0</v>
      </c>
      <c r="M105" s="100">
        <v>0</v>
      </c>
      <c r="N105" s="100">
        <v>0</v>
      </c>
      <c r="O105" s="100">
        <v>0</v>
      </c>
      <c r="P105" s="100">
        <v>0</v>
      </c>
    </row>
    <row r="106" spans="1:18" ht="26.25" customHeight="1" x14ac:dyDescent="0.2">
      <c r="A106" s="363"/>
      <c r="B106" s="363"/>
      <c r="C106" s="95"/>
      <c r="D106" s="321"/>
      <c r="E106" s="321" t="s">
        <v>184</v>
      </c>
      <c r="F106" s="95">
        <v>94</v>
      </c>
      <c r="G106" s="100">
        <v>145.4</v>
      </c>
      <c r="H106" s="100">
        <v>294</v>
      </c>
      <c r="I106" s="190">
        <v>294</v>
      </c>
      <c r="J106" s="100">
        <v>287.38378</v>
      </c>
      <c r="K106" s="100">
        <v>162</v>
      </c>
      <c r="L106" s="100">
        <f>K106+0</f>
        <v>162</v>
      </c>
      <c r="M106" s="100">
        <f>L106+0</f>
        <v>162</v>
      </c>
      <c r="N106" s="100">
        <f>M106+132</f>
        <v>294</v>
      </c>
      <c r="O106" s="100">
        <f>N106/J106*100</f>
        <v>102.30222457231233</v>
      </c>
      <c r="P106" s="101">
        <f>J106/G106*100</f>
        <v>197.65046767537825</v>
      </c>
    </row>
    <row r="107" spans="1:18" ht="15" customHeight="1" x14ac:dyDescent="0.2">
      <c r="A107" s="363"/>
      <c r="B107" s="363"/>
      <c r="C107" s="95"/>
      <c r="D107" s="357" t="s">
        <v>185</v>
      </c>
      <c r="E107" s="357"/>
      <c r="F107" s="95">
        <v>95</v>
      </c>
      <c r="G107" s="100">
        <v>1906.58</v>
      </c>
      <c r="H107" s="100">
        <v>2344</v>
      </c>
      <c r="I107" s="190">
        <v>2344</v>
      </c>
      <c r="J107" s="100">
        <v>2121.62</v>
      </c>
      <c r="K107" s="195">
        <v>740</v>
      </c>
      <c r="L107" s="195">
        <f>K107+720</f>
        <v>1460</v>
      </c>
      <c r="M107" s="195">
        <f>L107+775</f>
        <v>2235</v>
      </c>
      <c r="N107" s="195">
        <f>M107+715</f>
        <v>2950</v>
      </c>
      <c r="O107" s="100">
        <f>N107/J107*100</f>
        <v>139.04469226345907</v>
      </c>
      <c r="P107" s="101">
        <f>J107/G107*100</f>
        <v>111.27883435261043</v>
      </c>
    </row>
    <row r="108" spans="1:18" ht="13.5" customHeight="1" x14ac:dyDescent="0.2">
      <c r="A108" s="363"/>
      <c r="B108" s="363"/>
      <c r="C108" s="95"/>
      <c r="D108" s="357" t="s">
        <v>349</v>
      </c>
      <c r="E108" s="357"/>
      <c r="F108" s="95">
        <v>96</v>
      </c>
      <c r="G108" s="100">
        <v>625.29200000000003</v>
      </c>
      <c r="H108" s="100">
        <v>600</v>
      </c>
      <c r="I108" s="190">
        <v>600</v>
      </c>
      <c r="J108" s="100">
        <v>579.48974999999996</v>
      </c>
      <c r="K108" s="100">
        <v>0</v>
      </c>
      <c r="L108" s="100">
        <v>1320</v>
      </c>
      <c r="M108" s="100">
        <f>L108+0</f>
        <v>1320</v>
      </c>
      <c r="N108" s="100">
        <f>M108+0</f>
        <v>1320</v>
      </c>
      <c r="O108" s="100">
        <v>0</v>
      </c>
      <c r="P108" s="100">
        <v>0</v>
      </c>
    </row>
    <row r="109" spans="1:18" ht="27" customHeight="1" x14ac:dyDescent="0.2">
      <c r="A109" s="363"/>
      <c r="B109" s="363"/>
      <c r="C109" s="95"/>
      <c r="D109" s="357" t="s">
        <v>186</v>
      </c>
      <c r="E109" s="357"/>
      <c r="F109" s="95">
        <v>97</v>
      </c>
      <c r="G109" s="100">
        <v>607.61042000000009</v>
      </c>
      <c r="H109" s="100">
        <v>44</v>
      </c>
      <c r="I109" s="190">
        <v>44</v>
      </c>
      <c r="J109" s="100">
        <v>44.084000000000003</v>
      </c>
      <c r="K109" s="100">
        <v>0</v>
      </c>
      <c r="L109" s="100">
        <v>650</v>
      </c>
      <c r="M109" s="100">
        <f>L109+0</f>
        <v>650</v>
      </c>
      <c r="N109" s="100">
        <f>M109+0</f>
        <v>650</v>
      </c>
      <c r="O109" s="100">
        <v>0</v>
      </c>
      <c r="P109" s="100">
        <v>0</v>
      </c>
    </row>
    <row r="110" spans="1:18" ht="15" customHeight="1" x14ac:dyDescent="0.2">
      <c r="A110" s="363"/>
      <c r="B110" s="363"/>
      <c r="C110" s="95"/>
      <c r="D110" s="357" t="s">
        <v>187</v>
      </c>
      <c r="E110" s="357"/>
      <c r="F110" s="95">
        <v>98</v>
      </c>
      <c r="G110" s="100">
        <v>0</v>
      </c>
      <c r="H110" s="100">
        <v>0</v>
      </c>
      <c r="I110" s="190">
        <v>0</v>
      </c>
      <c r="J110" s="100">
        <v>0</v>
      </c>
      <c r="K110" s="100">
        <v>0</v>
      </c>
      <c r="L110" s="100">
        <v>0</v>
      </c>
      <c r="M110" s="100">
        <v>0</v>
      </c>
      <c r="N110" s="100">
        <v>0</v>
      </c>
      <c r="O110" s="100">
        <v>0</v>
      </c>
      <c r="P110" s="100">
        <v>0</v>
      </c>
    </row>
    <row r="111" spans="1:18" ht="15.75" customHeight="1" x14ac:dyDescent="0.2">
      <c r="A111" s="363"/>
      <c r="B111" s="363"/>
      <c r="C111" s="95" t="s">
        <v>26</v>
      </c>
      <c r="D111" s="357" t="s">
        <v>350</v>
      </c>
      <c r="E111" s="357"/>
      <c r="F111" s="95">
        <v>99</v>
      </c>
      <c r="G111" s="100">
        <v>0</v>
      </c>
      <c r="H111" s="100">
        <v>0</v>
      </c>
      <c r="I111" s="190">
        <v>0</v>
      </c>
      <c r="J111" s="100">
        <v>0</v>
      </c>
      <c r="K111" s="100">
        <f>K112+K113+K114</f>
        <v>0</v>
      </c>
      <c r="L111" s="100">
        <f>L112+L113+L114</f>
        <v>0</v>
      </c>
      <c r="M111" s="100">
        <f>M112+M113+M114</f>
        <v>0</v>
      </c>
      <c r="N111" s="100">
        <f>N112+N113+N114</f>
        <v>0</v>
      </c>
      <c r="O111" s="100">
        <v>0</v>
      </c>
      <c r="P111" s="100">
        <v>0</v>
      </c>
    </row>
    <row r="112" spans="1:18" ht="28.5" customHeight="1" x14ac:dyDescent="0.2">
      <c r="A112" s="363"/>
      <c r="B112" s="363"/>
      <c r="C112" s="95"/>
      <c r="D112" s="357" t="s">
        <v>188</v>
      </c>
      <c r="E112" s="357"/>
      <c r="F112" s="95">
        <v>100</v>
      </c>
      <c r="G112" s="100">
        <v>0</v>
      </c>
      <c r="H112" s="100">
        <v>0</v>
      </c>
      <c r="I112" s="190">
        <v>0</v>
      </c>
      <c r="J112" s="100">
        <v>0</v>
      </c>
      <c r="K112" s="100">
        <v>0</v>
      </c>
      <c r="L112" s="100">
        <v>0</v>
      </c>
      <c r="M112" s="100">
        <v>0</v>
      </c>
      <c r="N112" s="100">
        <v>0</v>
      </c>
      <c r="O112" s="100">
        <v>0</v>
      </c>
      <c r="P112" s="100">
        <v>0</v>
      </c>
    </row>
    <row r="113" spans="1:28" ht="29.25" customHeight="1" x14ac:dyDescent="0.2">
      <c r="A113" s="363"/>
      <c r="B113" s="363"/>
      <c r="C113" s="95"/>
      <c r="D113" s="357" t="s">
        <v>189</v>
      </c>
      <c r="E113" s="357"/>
      <c r="F113" s="95">
        <v>101</v>
      </c>
      <c r="G113" s="100">
        <v>0</v>
      </c>
      <c r="H113" s="100">
        <v>0</v>
      </c>
      <c r="I113" s="190">
        <v>0</v>
      </c>
      <c r="J113" s="100">
        <v>0</v>
      </c>
      <c r="K113" s="100">
        <v>0</v>
      </c>
      <c r="L113" s="100">
        <v>0</v>
      </c>
      <c r="M113" s="100">
        <v>0</v>
      </c>
      <c r="N113" s="100">
        <v>0</v>
      </c>
      <c r="O113" s="100">
        <v>0</v>
      </c>
      <c r="P113" s="100">
        <v>0</v>
      </c>
    </row>
    <row r="114" spans="1:28" ht="28.5" customHeight="1" x14ac:dyDescent="0.2">
      <c r="A114" s="363"/>
      <c r="B114" s="363"/>
      <c r="C114" s="95"/>
      <c r="D114" s="357" t="s">
        <v>351</v>
      </c>
      <c r="E114" s="357"/>
      <c r="F114" s="95">
        <v>102</v>
      </c>
      <c r="G114" s="100">
        <v>0</v>
      </c>
      <c r="H114" s="100">
        <v>0</v>
      </c>
      <c r="I114" s="190">
        <v>0</v>
      </c>
      <c r="J114" s="100">
        <v>0</v>
      </c>
      <c r="K114" s="100">
        <v>0</v>
      </c>
      <c r="L114" s="100">
        <v>0</v>
      </c>
      <c r="M114" s="100">
        <v>0</v>
      </c>
      <c r="N114" s="100">
        <v>0</v>
      </c>
      <c r="O114" s="100">
        <v>0</v>
      </c>
      <c r="P114" s="100">
        <v>0</v>
      </c>
    </row>
    <row r="115" spans="1:28" ht="42" customHeight="1" x14ac:dyDescent="0.2">
      <c r="A115" s="363"/>
      <c r="B115" s="363"/>
      <c r="C115" s="95" t="s">
        <v>29</v>
      </c>
      <c r="D115" s="357" t="s">
        <v>352</v>
      </c>
      <c r="E115" s="357"/>
      <c r="F115" s="95">
        <v>103</v>
      </c>
      <c r="G115" s="100">
        <v>1003.634</v>
      </c>
      <c r="H115" s="100">
        <v>1360.4499999999998</v>
      </c>
      <c r="I115" s="190">
        <v>1360.4499999999998</v>
      </c>
      <c r="J115" s="100">
        <v>1205.623</v>
      </c>
      <c r="K115" s="100">
        <f>K116+K119+K122+K123</f>
        <v>331.59500000000003</v>
      </c>
      <c r="L115" s="100">
        <f>L116+L119+L122+L123</f>
        <v>749.79000000000008</v>
      </c>
      <c r="M115" s="100">
        <f>M116+M119+M122+M123</f>
        <v>1167.9850000000001</v>
      </c>
      <c r="N115" s="100">
        <f>N116+N119+N122+N123</f>
        <v>1587.1800000000003</v>
      </c>
      <c r="O115" s="100">
        <f>N115/J115*100</f>
        <v>131.6481188563921</v>
      </c>
      <c r="P115" s="101">
        <f>J115/G115*100</f>
        <v>120.12576297734034</v>
      </c>
    </row>
    <row r="116" spans="1:28" ht="13.5" customHeight="1" x14ac:dyDescent="0.2">
      <c r="A116" s="363"/>
      <c r="B116" s="363"/>
      <c r="C116" s="363"/>
      <c r="D116" s="357" t="s">
        <v>190</v>
      </c>
      <c r="E116" s="357"/>
      <c r="F116" s="95">
        <v>104</v>
      </c>
      <c r="G116" s="100">
        <v>864.8</v>
      </c>
      <c r="H116" s="100">
        <v>1050.8499999999999</v>
      </c>
      <c r="I116" s="190">
        <v>1050.8499999999999</v>
      </c>
      <c r="J116" s="100">
        <v>897.89499999999998</v>
      </c>
      <c r="K116" s="100">
        <f>K117+K118</f>
        <v>235.60000000000002</v>
      </c>
      <c r="L116" s="100">
        <f>L117+L118</f>
        <v>557.80000000000007</v>
      </c>
      <c r="M116" s="100">
        <f>M117+M118</f>
        <v>880.00000000000011</v>
      </c>
      <c r="N116" s="100">
        <f>N117+N118</f>
        <v>1202.2000000000003</v>
      </c>
      <c r="O116" s="100">
        <f>N116/J116*100</f>
        <v>133.89093379515427</v>
      </c>
      <c r="P116" s="101">
        <f>J116/G116*100</f>
        <v>103.82689639222941</v>
      </c>
    </row>
    <row r="117" spans="1:28" ht="13.5" customHeight="1" x14ac:dyDescent="0.2">
      <c r="A117" s="363"/>
      <c r="B117" s="363"/>
      <c r="C117" s="363"/>
      <c r="D117" s="321"/>
      <c r="E117" s="328" t="s">
        <v>191</v>
      </c>
      <c r="F117" s="95">
        <v>105</v>
      </c>
      <c r="G117" s="100">
        <v>864.8</v>
      </c>
      <c r="H117" s="100">
        <v>1050.8499999999999</v>
      </c>
      <c r="I117" s="190">
        <v>1050.8499999999999</v>
      </c>
      <c r="J117" s="100">
        <v>897.89499999999998</v>
      </c>
      <c r="K117" s="100">
        <f>18.8*4+(20.8*1+19.8*3)*2</f>
        <v>235.60000000000002</v>
      </c>
      <c r="L117" s="100">
        <f>K117+(27.6*1+26.6*3)*3</f>
        <v>557.80000000000007</v>
      </c>
      <c r="M117" s="100">
        <f>L117+(27.6*1+26.6*3)*3</f>
        <v>880.00000000000011</v>
      </c>
      <c r="N117" s="100">
        <f>M117+(27.6*1+26.6*3)*3</f>
        <v>1202.2000000000003</v>
      </c>
      <c r="O117" s="100">
        <f>N117/J117*100</f>
        <v>133.89093379515427</v>
      </c>
      <c r="P117" s="101">
        <f>J117/G117*100</f>
        <v>103.82689639222941</v>
      </c>
    </row>
    <row r="118" spans="1:28" ht="13.5" customHeight="1" x14ac:dyDescent="0.2">
      <c r="A118" s="363"/>
      <c r="B118" s="363"/>
      <c r="C118" s="363"/>
      <c r="D118" s="321"/>
      <c r="E118" s="328" t="s">
        <v>192</v>
      </c>
      <c r="F118" s="95">
        <v>106</v>
      </c>
      <c r="G118" s="100">
        <v>0</v>
      </c>
      <c r="H118" s="100">
        <v>0</v>
      </c>
      <c r="I118" s="190">
        <v>0</v>
      </c>
      <c r="J118" s="100">
        <v>0</v>
      </c>
      <c r="K118" s="100">
        <v>0</v>
      </c>
      <c r="L118" s="100">
        <v>0</v>
      </c>
      <c r="M118" s="100">
        <v>0</v>
      </c>
      <c r="N118" s="100">
        <v>0</v>
      </c>
      <c r="O118" s="100">
        <v>0</v>
      </c>
      <c r="P118" s="101">
        <v>0</v>
      </c>
    </row>
    <row r="119" spans="1:28" ht="27" customHeight="1" x14ac:dyDescent="0.2">
      <c r="A119" s="363"/>
      <c r="B119" s="363"/>
      <c r="C119" s="363"/>
      <c r="D119" s="357" t="s">
        <v>193</v>
      </c>
      <c r="E119" s="357"/>
      <c r="F119" s="95">
        <v>107</v>
      </c>
      <c r="G119" s="100">
        <v>138.834</v>
      </c>
      <c r="H119" s="100">
        <v>309.59999999999997</v>
      </c>
      <c r="I119" s="190">
        <v>309.59999999999997</v>
      </c>
      <c r="J119" s="100">
        <v>307.72800000000001</v>
      </c>
      <c r="K119" s="100">
        <f>K120+K121</f>
        <v>95.99499999999999</v>
      </c>
      <c r="L119" s="100">
        <f>L120+L121</f>
        <v>191.98999999999998</v>
      </c>
      <c r="M119" s="100">
        <f>M120+M121</f>
        <v>287.98499999999996</v>
      </c>
      <c r="N119" s="100">
        <f>N120+N121</f>
        <v>384.97999999999996</v>
      </c>
      <c r="O119" s="100">
        <f>N119/J119*100</f>
        <v>125.10398793739925</v>
      </c>
      <c r="P119" s="101">
        <f>J119/G119*100</f>
        <v>221.6517567742772</v>
      </c>
    </row>
    <row r="120" spans="1:28" ht="14.25" customHeight="1" x14ac:dyDescent="0.2">
      <c r="A120" s="363"/>
      <c r="B120" s="363"/>
      <c r="C120" s="363"/>
      <c r="D120" s="321"/>
      <c r="E120" s="328" t="s">
        <v>191</v>
      </c>
      <c r="F120" s="95">
        <v>108</v>
      </c>
      <c r="G120" s="100">
        <v>138.834</v>
      </c>
      <c r="H120" s="100">
        <v>309.59999999999997</v>
      </c>
      <c r="I120" s="190">
        <v>309.59999999999997</v>
      </c>
      <c r="J120" s="100">
        <v>307.72800000000001</v>
      </c>
      <c r="K120" s="100">
        <f>4274/1000*3*6*1.25-0.2+0.03</f>
        <v>95.99499999999999</v>
      </c>
      <c r="L120" s="100">
        <f>K120*2</f>
        <v>191.98999999999998</v>
      </c>
      <c r="M120" s="100">
        <f>K120*3</f>
        <v>287.98499999999996</v>
      </c>
      <c r="N120" s="100">
        <f>K120*4+1</f>
        <v>384.97999999999996</v>
      </c>
      <c r="O120" s="100">
        <f>N120/J120*100</f>
        <v>125.10398793739925</v>
      </c>
      <c r="P120" s="101">
        <f>J120/G120*100</f>
        <v>221.6517567742772</v>
      </c>
    </row>
    <row r="121" spans="1:28" ht="14.25" customHeight="1" x14ac:dyDescent="0.2">
      <c r="A121" s="363"/>
      <c r="B121" s="363"/>
      <c r="C121" s="363"/>
      <c r="D121" s="321"/>
      <c r="E121" s="328" t="s">
        <v>192</v>
      </c>
      <c r="F121" s="95">
        <v>109</v>
      </c>
      <c r="G121" s="100">
        <v>0</v>
      </c>
      <c r="H121" s="100">
        <v>0</v>
      </c>
      <c r="I121" s="190">
        <v>0</v>
      </c>
      <c r="J121" s="100">
        <v>0</v>
      </c>
      <c r="K121" s="100">
        <v>0</v>
      </c>
      <c r="L121" s="100">
        <v>0</v>
      </c>
      <c r="M121" s="100">
        <v>0</v>
      </c>
      <c r="N121" s="100">
        <v>0</v>
      </c>
      <c r="O121" s="100">
        <v>0</v>
      </c>
      <c r="P121" s="100">
        <v>0</v>
      </c>
    </row>
    <row r="122" spans="1:28" ht="16.5" customHeight="1" x14ac:dyDescent="0.2">
      <c r="A122" s="363"/>
      <c r="B122" s="363"/>
      <c r="C122" s="363"/>
      <c r="D122" s="357" t="s">
        <v>353</v>
      </c>
      <c r="E122" s="357"/>
      <c r="F122" s="95">
        <v>110</v>
      </c>
      <c r="G122" s="100">
        <v>0</v>
      </c>
      <c r="H122" s="100">
        <v>0</v>
      </c>
      <c r="I122" s="190">
        <v>0</v>
      </c>
      <c r="J122" s="100">
        <v>0</v>
      </c>
      <c r="K122" s="100">
        <v>0</v>
      </c>
      <c r="L122" s="100">
        <v>0</v>
      </c>
      <c r="M122" s="100">
        <v>0</v>
      </c>
      <c r="N122" s="100">
        <v>0</v>
      </c>
      <c r="O122" s="100">
        <v>0</v>
      </c>
      <c r="P122" s="100">
        <v>0</v>
      </c>
    </row>
    <row r="123" spans="1:28" ht="15" x14ac:dyDescent="0.2">
      <c r="A123" s="363"/>
      <c r="B123" s="363"/>
      <c r="C123" s="95"/>
      <c r="D123" s="357" t="s">
        <v>194</v>
      </c>
      <c r="E123" s="357"/>
      <c r="F123" s="95">
        <v>111</v>
      </c>
      <c r="G123" s="100">
        <v>0</v>
      </c>
      <c r="H123" s="100">
        <v>0</v>
      </c>
      <c r="I123" s="190">
        <v>0</v>
      </c>
      <c r="J123" s="100">
        <v>0</v>
      </c>
      <c r="K123" s="100">
        <v>0</v>
      </c>
      <c r="L123" s="100">
        <v>0</v>
      </c>
      <c r="M123" s="100">
        <v>0</v>
      </c>
      <c r="N123" s="100">
        <v>0</v>
      </c>
      <c r="O123" s="100">
        <v>0</v>
      </c>
      <c r="P123" s="100">
        <v>0</v>
      </c>
    </row>
    <row r="124" spans="1:28" ht="14.25" customHeight="1" x14ac:dyDescent="0.2">
      <c r="A124" s="363"/>
      <c r="B124" s="363"/>
      <c r="C124" s="95" t="s">
        <v>31</v>
      </c>
      <c r="D124" s="357" t="s">
        <v>32</v>
      </c>
      <c r="E124" s="357"/>
      <c r="F124" s="95">
        <v>112</v>
      </c>
      <c r="G124" s="100">
        <v>602.74800000000005</v>
      </c>
      <c r="H124" s="100">
        <v>735.22012499999994</v>
      </c>
      <c r="I124" s="190">
        <v>735.22012499999994</v>
      </c>
      <c r="J124" s="100">
        <v>672.42499999999995</v>
      </c>
      <c r="K124" s="100">
        <f>(K99+K115+K109+K75)*2.25/100</f>
        <v>219.52338749999998</v>
      </c>
      <c r="L124" s="100">
        <f>(L99+L115+L109+L75)*2.25/100</f>
        <v>454.29277500000006</v>
      </c>
      <c r="M124" s="100">
        <f>(M99+M115+M109+M75)*2.25/100</f>
        <v>673.28966249999996</v>
      </c>
      <c r="N124" s="100">
        <f>(N99+N115+N109+N75)*2.25/100+1+10</f>
        <v>940.59154999999998</v>
      </c>
      <c r="O124" s="100">
        <f>N124/J124*100</f>
        <v>139.88051455552664</v>
      </c>
      <c r="P124" s="101">
        <f>J124/G124*100</f>
        <v>111.55988904152314</v>
      </c>
      <c r="W124" s="33"/>
      <c r="X124" s="33"/>
      <c r="Y124" s="33"/>
      <c r="Z124" s="33"/>
      <c r="AA124" s="34"/>
      <c r="AB124" s="34"/>
    </row>
    <row r="125" spans="1:28" ht="27.75" customHeight="1" x14ac:dyDescent="0.25">
      <c r="A125" s="363"/>
      <c r="B125" s="363"/>
      <c r="C125" s="370" t="s">
        <v>354</v>
      </c>
      <c r="D125" s="370"/>
      <c r="E125" s="370"/>
      <c r="F125" s="95">
        <v>113</v>
      </c>
      <c r="G125" s="100">
        <v>2798.0421500000002</v>
      </c>
      <c r="H125" s="100">
        <v>3035</v>
      </c>
      <c r="I125" s="190">
        <v>3035</v>
      </c>
      <c r="J125" s="100">
        <v>2857.5400399999999</v>
      </c>
      <c r="K125" s="100">
        <f>K126+K129+K130+K131+K132+K133</f>
        <v>1020</v>
      </c>
      <c r="L125" s="100">
        <f>L126+L129+L130+L131+L132+L133</f>
        <v>1615</v>
      </c>
      <c r="M125" s="100">
        <f>M126+M129+M130+M131+M132+M133</f>
        <v>2685</v>
      </c>
      <c r="N125" s="100">
        <f>N126+N129+N130+N131+N132+N133</f>
        <v>4340</v>
      </c>
      <c r="O125" s="100">
        <f>N125/J125*100</f>
        <v>151.8788867084431</v>
      </c>
      <c r="P125" s="101">
        <f>J125/G125*100</f>
        <v>102.12641149812556</v>
      </c>
    </row>
    <row r="126" spans="1:28" ht="15" x14ac:dyDescent="0.2">
      <c r="A126" s="363"/>
      <c r="B126" s="363"/>
      <c r="C126" s="95" t="s">
        <v>10</v>
      </c>
      <c r="D126" s="357" t="s">
        <v>355</v>
      </c>
      <c r="E126" s="357"/>
      <c r="F126" s="95">
        <v>114</v>
      </c>
      <c r="G126" s="100">
        <v>235.91776000000002</v>
      </c>
      <c r="H126" s="100">
        <v>340</v>
      </c>
      <c r="I126" s="190">
        <v>340</v>
      </c>
      <c r="J126" s="100">
        <v>228.28222</v>
      </c>
      <c r="K126" s="100">
        <f>K127+K128+25</f>
        <v>110</v>
      </c>
      <c r="L126" s="100">
        <f>L127+L128+25+25</f>
        <v>195</v>
      </c>
      <c r="M126" s="100">
        <f>M127+M128+25+25+25</f>
        <v>305</v>
      </c>
      <c r="N126" s="100">
        <f>N127+N128+25+25+25+25</f>
        <v>390</v>
      </c>
      <c r="O126" s="100">
        <f>N126/J126*100</f>
        <v>170.84116318826759</v>
      </c>
      <c r="P126" s="101">
        <f>J126/G126*100</f>
        <v>96.763473847835783</v>
      </c>
    </row>
    <row r="127" spans="1:28" ht="15.2" customHeight="1" x14ac:dyDescent="0.2">
      <c r="A127" s="363"/>
      <c r="B127" s="363"/>
      <c r="C127" s="95"/>
      <c r="D127" s="357" t="s">
        <v>195</v>
      </c>
      <c r="E127" s="357"/>
      <c r="F127" s="95">
        <v>115</v>
      </c>
      <c r="G127" s="100">
        <v>3.5</v>
      </c>
      <c r="H127" s="100">
        <v>50</v>
      </c>
      <c r="I127" s="190">
        <v>50</v>
      </c>
      <c r="J127" s="100">
        <v>1</v>
      </c>
      <c r="K127" s="100">
        <v>25</v>
      </c>
      <c r="L127" s="100">
        <f>K127</f>
        <v>25</v>
      </c>
      <c r="M127" s="100">
        <f>L127+25</f>
        <v>50</v>
      </c>
      <c r="N127" s="100">
        <f>M127</f>
        <v>50</v>
      </c>
      <c r="O127" s="100">
        <v>0</v>
      </c>
      <c r="P127" s="101">
        <v>0</v>
      </c>
    </row>
    <row r="128" spans="1:28" ht="15.2" customHeight="1" x14ac:dyDescent="0.2">
      <c r="A128" s="363"/>
      <c r="B128" s="363"/>
      <c r="C128" s="95"/>
      <c r="D128" s="357" t="s">
        <v>196</v>
      </c>
      <c r="E128" s="357"/>
      <c r="F128" s="95">
        <v>116</v>
      </c>
      <c r="G128" s="100">
        <v>116.97792999999999</v>
      </c>
      <c r="H128" s="100">
        <v>200</v>
      </c>
      <c r="I128" s="190">
        <v>200</v>
      </c>
      <c r="J128" s="100">
        <v>227.28222</v>
      </c>
      <c r="K128" s="100">
        <v>60</v>
      </c>
      <c r="L128" s="100">
        <f>K128*2</f>
        <v>120</v>
      </c>
      <c r="M128" s="100">
        <f>K128*3</f>
        <v>180</v>
      </c>
      <c r="N128" s="100">
        <f>K128*4</f>
        <v>240</v>
      </c>
      <c r="O128" s="100">
        <f>N128/J128*100</f>
        <v>105.59558948341845</v>
      </c>
      <c r="P128" s="101">
        <f>J128/G128*100</f>
        <v>194.29495803182706</v>
      </c>
    </row>
    <row r="129" spans="1:16" ht="15" x14ac:dyDescent="0.2">
      <c r="A129" s="363"/>
      <c r="B129" s="363"/>
      <c r="C129" s="95" t="s">
        <v>12</v>
      </c>
      <c r="D129" s="357" t="s">
        <v>197</v>
      </c>
      <c r="E129" s="357"/>
      <c r="F129" s="95">
        <v>117</v>
      </c>
      <c r="G129" s="100">
        <v>0</v>
      </c>
      <c r="H129" s="100">
        <v>0</v>
      </c>
      <c r="I129" s="190">
        <v>0</v>
      </c>
      <c r="J129" s="100">
        <v>0</v>
      </c>
      <c r="K129" s="100">
        <v>0</v>
      </c>
      <c r="L129" s="100">
        <v>0</v>
      </c>
      <c r="M129" s="100">
        <v>0</v>
      </c>
      <c r="N129" s="100">
        <v>0</v>
      </c>
      <c r="O129" s="100">
        <v>0</v>
      </c>
      <c r="P129" s="100">
        <v>0</v>
      </c>
    </row>
    <row r="130" spans="1:16" ht="15" x14ac:dyDescent="0.2">
      <c r="A130" s="363"/>
      <c r="B130" s="363"/>
      <c r="C130" s="95" t="s">
        <v>48</v>
      </c>
      <c r="D130" s="357" t="s">
        <v>198</v>
      </c>
      <c r="E130" s="357"/>
      <c r="F130" s="95">
        <v>118</v>
      </c>
      <c r="G130" s="100">
        <v>0</v>
      </c>
      <c r="H130" s="100">
        <v>0</v>
      </c>
      <c r="I130" s="190">
        <v>0</v>
      </c>
      <c r="J130" s="100">
        <v>0</v>
      </c>
      <c r="K130" s="100">
        <v>0</v>
      </c>
      <c r="L130" s="100">
        <v>0</v>
      </c>
      <c r="M130" s="100">
        <v>0</v>
      </c>
      <c r="N130" s="100">
        <v>0</v>
      </c>
      <c r="O130" s="100">
        <v>0</v>
      </c>
      <c r="P130" s="100">
        <v>0</v>
      </c>
    </row>
    <row r="131" spans="1:16" ht="15" x14ac:dyDescent="0.2">
      <c r="A131" s="363"/>
      <c r="B131" s="363"/>
      <c r="C131" s="95" t="s">
        <v>57</v>
      </c>
      <c r="D131" s="357" t="s">
        <v>60</v>
      </c>
      <c r="E131" s="357"/>
      <c r="F131" s="95">
        <v>119</v>
      </c>
      <c r="G131" s="100">
        <v>361.46828999999997</v>
      </c>
      <c r="H131" s="100">
        <v>500</v>
      </c>
      <c r="I131" s="190">
        <v>500</v>
      </c>
      <c r="J131" s="100">
        <v>469.26456999999999</v>
      </c>
      <c r="K131" s="100">
        <f>300+100+10</f>
        <v>410</v>
      </c>
      <c r="L131" s="100">
        <f>K131+50+10</f>
        <v>470</v>
      </c>
      <c r="M131" s="100">
        <f>L131+300+50+10</f>
        <v>830</v>
      </c>
      <c r="N131" s="100">
        <f>M131+50+20+100</f>
        <v>1000</v>
      </c>
      <c r="O131" s="100">
        <f>N131/J131*100</f>
        <v>213.09940360509211</v>
      </c>
      <c r="P131" s="101">
        <f>J131/G131*100</f>
        <v>129.82178049421708</v>
      </c>
    </row>
    <row r="132" spans="1:16" ht="15" x14ac:dyDescent="0.2">
      <c r="A132" s="363"/>
      <c r="B132" s="363"/>
      <c r="C132" s="198" t="s">
        <v>59</v>
      </c>
      <c r="D132" s="357" t="s">
        <v>199</v>
      </c>
      <c r="E132" s="357"/>
      <c r="F132" s="95">
        <v>120</v>
      </c>
      <c r="G132" s="100">
        <v>2101.0097700000001</v>
      </c>
      <c r="H132" s="100">
        <v>2300</v>
      </c>
      <c r="I132" s="190">
        <v>2300</v>
      </c>
      <c r="J132" s="100">
        <v>2028.3385800000001</v>
      </c>
      <c r="K132" s="100">
        <f>185*3+25*3+20</f>
        <v>650</v>
      </c>
      <c r="L132" s="100">
        <f>K132*2+100</f>
        <v>1400</v>
      </c>
      <c r="M132" s="100">
        <f>L132+650+100</f>
        <v>2150</v>
      </c>
      <c r="N132" s="100">
        <f>M132+650+100</f>
        <v>2900</v>
      </c>
      <c r="O132" s="100">
        <f>N132/J132*100</f>
        <v>142.97415769708428</v>
      </c>
      <c r="P132" s="101">
        <f>J132/G132*100</f>
        <v>96.541130315638654</v>
      </c>
    </row>
    <row r="133" spans="1:16" ht="26.25" customHeight="1" x14ac:dyDescent="0.2">
      <c r="A133" s="363"/>
      <c r="B133" s="363"/>
      <c r="C133" s="106" t="s">
        <v>200</v>
      </c>
      <c r="D133" s="360" t="s">
        <v>356</v>
      </c>
      <c r="E133" s="360"/>
      <c r="F133" s="95">
        <v>121</v>
      </c>
      <c r="G133" s="100">
        <v>99.646330000000034</v>
      </c>
      <c r="H133" s="100">
        <v>-105</v>
      </c>
      <c r="I133" s="190">
        <v>-105</v>
      </c>
      <c r="J133" s="100">
        <v>131.65466999999992</v>
      </c>
      <c r="K133" s="100">
        <f>K134-K137</f>
        <v>-150</v>
      </c>
      <c r="L133" s="100">
        <f>L134-L137</f>
        <v>-450</v>
      </c>
      <c r="M133" s="100">
        <f>M134-M137</f>
        <v>-600</v>
      </c>
      <c r="N133" s="100">
        <f>N134-N137</f>
        <v>50</v>
      </c>
      <c r="O133" s="100">
        <f>N133/J133*100</f>
        <v>37.978143882021072</v>
      </c>
      <c r="P133" s="101">
        <f>J133/G133*100</f>
        <v>132.12194568530512</v>
      </c>
    </row>
    <row r="134" spans="1:16" ht="15" x14ac:dyDescent="0.2">
      <c r="A134" s="363"/>
      <c r="B134" s="95"/>
      <c r="C134" s="95"/>
      <c r="D134" s="327" t="s">
        <v>105</v>
      </c>
      <c r="E134" s="329" t="s">
        <v>201</v>
      </c>
      <c r="F134" s="95">
        <v>122</v>
      </c>
      <c r="G134" s="100">
        <v>1394.2592299999999</v>
      </c>
      <c r="H134" s="100">
        <v>601</v>
      </c>
      <c r="I134" s="190">
        <v>601</v>
      </c>
      <c r="J134" s="100">
        <v>1392.3149099999998</v>
      </c>
      <c r="K134" s="100">
        <v>0</v>
      </c>
      <c r="L134" s="100">
        <v>0</v>
      </c>
      <c r="M134" s="100">
        <v>0</v>
      </c>
      <c r="N134" s="100">
        <f>N135+500+200</f>
        <v>1000</v>
      </c>
      <c r="O134" s="100">
        <v>0</v>
      </c>
      <c r="P134" s="100">
        <v>0</v>
      </c>
    </row>
    <row r="135" spans="1:16" ht="17.25" customHeight="1" x14ac:dyDescent="0.2">
      <c r="A135" s="363"/>
      <c r="B135" s="95"/>
      <c r="C135" s="103"/>
      <c r="D135" s="327" t="s">
        <v>202</v>
      </c>
      <c r="E135" s="328" t="s">
        <v>203</v>
      </c>
      <c r="F135" s="95">
        <v>123</v>
      </c>
      <c r="G135" s="100">
        <v>300</v>
      </c>
      <c r="H135" s="100">
        <v>100</v>
      </c>
      <c r="I135" s="190">
        <v>100</v>
      </c>
      <c r="J135" s="100">
        <v>100</v>
      </c>
      <c r="K135" s="100">
        <v>0</v>
      </c>
      <c r="L135" s="100">
        <v>0</v>
      </c>
      <c r="M135" s="100">
        <v>0</v>
      </c>
      <c r="N135" s="100">
        <v>300</v>
      </c>
      <c r="O135" s="100">
        <v>0</v>
      </c>
      <c r="P135" s="100">
        <v>0</v>
      </c>
    </row>
    <row r="136" spans="1:16" ht="15" x14ac:dyDescent="0.2">
      <c r="A136" s="363"/>
      <c r="B136" s="95"/>
      <c r="C136" s="103"/>
      <c r="D136" s="327" t="s">
        <v>204</v>
      </c>
      <c r="E136" s="330" t="s">
        <v>205</v>
      </c>
      <c r="F136" s="95">
        <v>124</v>
      </c>
      <c r="G136" s="100">
        <v>0</v>
      </c>
      <c r="H136" s="100">
        <v>0</v>
      </c>
      <c r="I136" s="190">
        <v>0</v>
      </c>
      <c r="J136" s="100">
        <v>0</v>
      </c>
      <c r="K136" s="100">
        <v>0</v>
      </c>
      <c r="L136" s="100">
        <v>0</v>
      </c>
      <c r="M136" s="100">
        <v>0</v>
      </c>
      <c r="N136" s="100">
        <v>0</v>
      </c>
      <c r="O136" s="100">
        <v>0</v>
      </c>
      <c r="P136" s="100">
        <v>0</v>
      </c>
    </row>
    <row r="137" spans="1:16" ht="30" x14ac:dyDescent="0.2">
      <c r="A137" s="363"/>
      <c r="B137" s="95"/>
      <c r="C137" s="103"/>
      <c r="D137" s="327" t="s">
        <v>107</v>
      </c>
      <c r="E137" s="329" t="s">
        <v>206</v>
      </c>
      <c r="F137" s="95">
        <v>125</v>
      </c>
      <c r="G137" s="100">
        <v>1294.6128999999999</v>
      </c>
      <c r="H137" s="100">
        <v>706</v>
      </c>
      <c r="I137" s="190">
        <v>706</v>
      </c>
      <c r="J137" s="100">
        <v>1260.6602399999999</v>
      </c>
      <c r="K137" s="100">
        <f>K138</f>
        <v>150</v>
      </c>
      <c r="L137" s="100">
        <f>L138</f>
        <v>450</v>
      </c>
      <c r="M137" s="100">
        <f>M138</f>
        <v>600</v>
      </c>
      <c r="N137" s="100">
        <f>N138</f>
        <v>950</v>
      </c>
      <c r="O137" s="100">
        <f>N137/J137*100</f>
        <v>75.35733815163394</v>
      </c>
      <c r="P137" s="101">
        <f>J137/G137*100</f>
        <v>97.377389024935567</v>
      </c>
    </row>
    <row r="138" spans="1:16" ht="27.75" customHeight="1" x14ac:dyDescent="0.2">
      <c r="A138" s="363"/>
      <c r="B138" s="95"/>
      <c r="C138" s="95"/>
      <c r="D138" s="321" t="s">
        <v>207</v>
      </c>
      <c r="E138" s="321" t="s">
        <v>357</v>
      </c>
      <c r="F138" s="95">
        <v>126</v>
      </c>
      <c r="G138" s="100">
        <v>1294.6128999999999</v>
      </c>
      <c r="H138" s="100">
        <v>706</v>
      </c>
      <c r="I138" s="190">
        <v>706</v>
      </c>
      <c r="J138" s="100">
        <f>J137</f>
        <v>1260.6602399999999</v>
      </c>
      <c r="K138" s="100">
        <f>K139+K140+K141</f>
        <v>150</v>
      </c>
      <c r="L138" s="100">
        <f>L139+L140+L141</f>
        <v>450</v>
      </c>
      <c r="M138" s="100">
        <f>M139+M140+M141</f>
        <v>600</v>
      </c>
      <c r="N138" s="100">
        <f>N139+N140+N141</f>
        <v>950</v>
      </c>
      <c r="O138" s="100">
        <v>0</v>
      </c>
      <c r="P138" s="100">
        <v>0</v>
      </c>
    </row>
    <row r="139" spans="1:16" ht="13.5" customHeight="1" x14ac:dyDescent="0.2">
      <c r="A139" s="363"/>
      <c r="B139" s="95"/>
      <c r="C139" s="95"/>
      <c r="D139" s="321"/>
      <c r="E139" s="321" t="s">
        <v>208</v>
      </c>
      <c r="F139" s="95">
        <v>127</v>
      </c>
      <c r="G139" s="100">
        <v>750</v>
      </c>
      <c r="H139" s="100">
        <v>300</v>
      </c>
      <c r="I139" s="190">
        <v>300</v>
      </c>
      <c r="J139" s="100">
        <v>300</v>
      </c>
      <c r="K139" s="100">
        <v>0</v>
      </c>
      <c r="L139" s="100">
        <v>100</v>
      </c>
      <c r="M139" s="100">
        <f>L139</f>
        <v>100</v>
      </c>
      <c r="N139" s="100">
        <f>M139</f>
        <v>100</v>
      </c>
      <c r="O139" s="100">
        <v>0</v>
      </c>
      <c r="P139" s="100">
        <v>0</v>
      </c>
    </row>
    <row r="140" spans="1:16" ht="27" customHeight="1" x14ac:dyDescent="0.2">
      <c r="A140" s="363"/>
      <c r="B140" s="95"/>
      <c r="C140" s="95"/>
      <c r="D140" s="321"/>
      <c r="E140" s="321" t="s">
        <v>209</v>
      </c>
      <c r="F140" s="95">
        <v>128</v>
      </c>
      <c r="G140" s="100">
        <v>298.73552000000001</v>
      </c>
      <c r="H140" s="100">
        <v>150</v>
      </c>
      <c r="I140" s="190">
        <v>150</v>
      </c>
      <c r="J140" s="100">
        <v>454.73523999999998</v>
      </c>
      <c r="K140" s="100">
        <v>0</v>
      </c>
      <c r="L140" s="100">
        <v>50</v>
      </c>
      <c r="M140" s="100">
        <f>L140</f>
        <v>50</v>
      </c>
      <c r="N140" s="100">
        <v>250</v>
      </c>
      <c r="O140" s="100">
        <v>0</v>
      </c>
      <c r="P140" s="100">
        <v>0</v>
      </c>
    </row>
    <row r="141" spans="1:16" ht="13.5" customHeight="1" x14ac:dyDescent="0.2">
      <c r="A141" s="363"/>
      <c r="B141" s="95"/>
      <c r="C141" s="95"/>
      <c r="D141" s="321"/>
      <c r="E141" s="329" t="s">
        <v>309</v>
      </c>
      <c r="F141" s="95">
        <v>129</v>
      </c>
      <c r="G141" s="100">
        <v>245.87700000000001</v>
      </c>
      <c r="H141" s="100">
        <v>256</v>
      </c>
      <c r="I141" s="190">
        <v>256</v>
      </c>
      <c r="J141" s="100">
        <f>J138-J139-J140</f>
        <v>505.92499999999995</v>
      </c>
      <c r="K141" s="100">
        <v>150</v>
      </c>
      <c r="L141" s="100">
        <f>K141+150</f>
        <v>300</v>
      </c>
      <c r="M141" s="100">
        <f>L141+150</f>
        <v>450</v>
      </c>
      <c r="N141" s="100">
        <f>M141+50+56+44</f>
        <v>600</v>
      </c>
      <c r="O141" s="100">
        <v>0</v>
      </c>
      <c r="P141" s="100">
        <v>0</v>
      </c>
    </row>
    <row r="142" spans="1:16" ht="15" x14ac:dyDescent="0.2">
      <c r="A142" s="363"/>
      <c r="B142" s="95">
        <v>2</v>
      </c>
      <c r="C142" s="95"/>
      <c r="D142" s="357" t="s">
        <v>358</v>
      </c>
      <c r="E142" s="357"/>
      <c r="F142" s="95">
        <v>130</v>
      </c>
      <c r="G142" s="100">
        <v>711.83868999999993</v>
      </c>
      <c r="H142" s="100">
        <v>1260</v>
      </c>
      <c r="I142" s="190">
        <v>1260</v>
      </c>
      <c r="J142" s="100">
        <v>1132.3775800000001</v>
      </c>
      <c r="K142" s="100">
        <f>K143+K146+K149</f>
        <v>320</v>
      </c>
      <c r="L142" s="100">
        <f>L143+L146+L149</f>
        <v>645</v>
      </c>
      <c r="M142" s="100">
        <f>M143+M146+M149</f>
        <v>960</v>
      </c>
      <c r="N142" s="100">
        <f>N143+N146+N149</f>
        <v>1265</v>
      </c>
      <c r="O142" s="100">
        <f>N142/J142*100</f>
        <v>111.71185498038561</v>
      </c>
      <c r="P142" s="101">
        <f>J142/G142*100</f>
        <v>159.07783545735626</v>
      </c>
    </row>
    <row r="143" spans="1:16" ht="15.2" customHeight="1" x14ac:dyDescent="0.2">
      <c r="A143" s="363"/>
      <c r="B143" s="363"/>
      <c r="C143" s="95" t="s">
        <v>10</v>
      </c>
      <c r="D143" s="357" t="s">
        <v>210</v>
      </c>
      <c r="E143" s="357"/>
      <c r="F143" s="95">
        <v>131</v>
      </c>
      <c r="G143" s="100">
        <v>711.83868999999993</v>
      </c>
      <c r="H143" s="100">
        <v>1250</v>
      </c>
      <c r="I143" s="190">
        <v>1250</v>
      </c>
      <c r="J143" s="100">
        <v>1131.3550500000001</v>
      </c>
      <c r="K143" s="100">
        <f>K144+K145</f>
        <v>315</v>
      </c>
      <c r="L143" s="100">
        <f>L144+L145</f>
        <v>640</v>
      </c>
      <c r="M143" s="100">
        <f>M144+M145</f>
        <v>955</v>
      </c>
      <c r="N143" s="100">
        <f>N144+N145</f>
        <v>1255</v>
      </c>
      <c r="O143" s="100">
        <v>0</v>
      </c>
      <c r="P143" s="100">
        <f>O143/K143*100</f>
        <v>0</v>
      </c>
    </row>
    <row r="144" spans="1:16" ht="15.75" customHeight="1" x14ac:dyDescent="0.2">
      <c r="A144" s="363"/>
      <c r="B144" s="363"/>
      <c r="C144" s="95"/>
      <c r="D144" s="321" t="s">
        <v>92</v>
      </c>
      <c r="E144" s="321" t="s">
        <v>211</v>
      </c>
      <c r="F144" s="95">
        <v>132</v>
      </c>
      <c r="G144" s="100">
        <v>711.83868999999993</v>
      </c>
      <c r="H144" s="100">
        <v>1250</v>
      </c>
      <c r="I144" s="190">
        <v>1250</v>
      </c>
      <c r="J144" s="100">
        <v>1131.3550500000001</v>
      </c>
      <c r="K144" s="100">
        <v>315</v>
      </c>
      <c r="L144" s="100">
        <f>K144+325</f>
        <v>640</v>
      </c>
      <c r="M144" s="100">
        <f>L144+315</f>
        <v>955</v>
      </c>
      <c r="N144" s="100">
        <f>M144+300</f>
        <v>1255</v>
      </c>
      <c r="O144" s="100">
        <v>0</v>
      </c>
      <c r="P144" s="100">
        <v>0</v>
      </c>
    </row>
    <row r="145" spans="1:21" ht="15" x14ac:dyDescent="0.2">
      <c r="A145" s="363"/>
      <c r="B145" s="363"/>
      <c r="C145" s="95"/>
      <c r="D145" s="321" t="s">
        <v>94</v>
      </c>
      <c r="E145" s="321" t="s">
        <v>212</v>
      </c>
      <c r="F145" s="95">
        <v>133</v>
      </c>
      <c r="G145" s="100">
        <v>0</v>
      </c>
      <c r="H145" s="100">
        <v>0</v>
      </c>
      <c r="I145" s="190">
        <v>0</v>
      </c>
      <c r="J145" s="100">
        <v>0</v>
      </c>
      <c r="K145" s="100">
        <v>0</v>
      </c>
      <c r="L145" s="100">
        <v>0</v>
      </c>
      <c r="M145" s="100">
        <v>0</v>
      </c>
      <c r="N145" s="100">
        <v>0</v>
      </c>
      <c r="O145" s="100">
        <v>0</v>
      </c>
      <c r="P145" s="100">
        <v>0</v>
      </c>
    </row>
    <row r="146" spans="1:21" ht="15" x14ac:dyDescent="0.2">
      <c r="A146" s="363"/>
      <c r="B146" s="363"/>
      <c r="C146" s="95" t="s">
        <v>12</v>
      </c>
      <c r="D146" s="357" t="s">
        <v>213</v>
      </c>
      <c r="E146" s="357"/>
      <c r="F146" s="95">
        <v>134</v>
      </c>
      <c r="G146" s="100">
        <v>0</v>
      </c>
      <c r="H146" s="100">
        <v>10</v>
      </c>
      <c r="I146" s="190">
        <v>10</v>
      </c>
      <c r="J146" s="102">
        <v>1.0225299999999999</v>
      </c>
      <c r="K146" s="100">
        <v>5</v>
      </c>
      <c r="L146" s="100">
        <f>L147+L148</f>
        <v>5</v>
      </c>
      <c r="M146" s="100">
        <v>5</v>
      </c>
      <c r="N146" s="100">
        <f>N147+N148</f>
        <v>10</v>
      </c>
      <c r="O146" s="100">
        <f>N146/J146*100</f>
        <v>977.96641663325283</v>
      </c>
      <c r="P146" s="101">
        <v>0</v>
      </c>
    </row>
    <row r="147" spans="1:21" ht="15.75" customHeight="1" x14ac:dyDescent="0.2">
      <c r="A147" s="363"/>
      <c r="B147" s="363"/>
      <c r="C147" s="95"/>
      <c r="D147" s="321" t="s">
        <v>124</v>
      </c>
      <c r="E147" s="321" t="s">
        <v>211</v>
      </c>
      <c r="F147" s="95">
        <v>135</v>
      </c>
      <c r="G147" s="100">
        <v>0</v>
      </c>
      <c r="H147" s="100">
        <v>0</v>
      </c>
      <c r="I147" s="190">
        <v>0</v>
      </c>
      <c r="J147" s="100">
        <v>0</v>
      </c>
      <c r="K147" s="100">
        <v>0</v>
      </c>
      <c r="L147" s="100">
        <v>0</v>
      </c>
      <c r="M147" s="100">
        <v>0</v>
      </c>
      <c r="N147" s="100">
        <v>0</v>
      </c>
      <c r="O147" s="100">
        <v>0</v>
      </c>
      <c r="P147" s="100">
        <v>0</v>
      </c>
    </row>
    <row r="148" spans="1:21" ht="15.75" customHeight="1" x14ac:dyDescent="0.2">
      <c r="A148" s="363"/>
      <c r="B148" s="363"/>
      <c r="C148" s="95"/>
      <c r="D148" s="321" t="s">
        <v>126</v>
      </c>
      <c r="E148" s="321" t="s">
        <v>212</v>
      </c>
      <c r="F148" s="95">
        <v>136</v>
      </c>
      <c r="G148" s="100">
        <v>0</v>
      </c>
      <c r="H148" s="100">
        <v>10</v>
      </c>
      <c r="I148" s="190">
        <v>10</v>
      </c>
      <c r="J148" s="102">
        <v>0</v>
      </c>
      <c r="K148" s="100">
        <v>5</v>
      </c>
      <c r="L148" s="100">
        <v>5</v>
      </c>
      <c r="M148" s="100">
        <v>5</v>
      </c>
      <c r="N148" s="100">
        <f>M148+5</f>
        <v>10</v>
      </c>
      <c r="O148" s="100">
        <v>0</v>
      </c>
      <c r="P148" s="100">
        <v>0</v>
      </c>
      <c r="R148" s="59"/>
      <c r="S148" s="59"/>
      <c r="T148" s="59"/>
      <c r="U148" s="59"/>
    </row>
    <row r="149" spans="1:21" ht="13.5" customHeight="1" x14ac:dyDescent="0.2">
      <c r="A149" s="363"/>
      <c r="B149" s="363"/>
      <c r="C149" s="95" t="s">
        <v>48</v>
      </c>
      <c r="D149" s="357" t="s">
        <v>214</v>
      </c>
      <c r="E149" s="357"/>
      <c r="F149" s="95">
        <v>137</v>
      </c>
      <c r="G149" s="100">
        <v>0</v>
      </c>
      <c r="H149" s="100">
        <v>0</v>
      </c>
      <c r="I149" s="190">
        <v>0</v>
      </c>
      <c r="J149" s="100">
        <v>0</v>
      </c>
      <c r="K149" s="100">
        <v>0</v>
      </c>
      <c r="L149" s="100">
        <v>0</v>
      </c>
      <c r="M149" s="100">
        <v>0</v>
      </c>
      <c r="N149" s="100">
        <v>0</v>
      </c>
      <c r="O149" s="100">
        <v>0</v>
      </c>
      <c r="P149" s="100">
        <v>0</v>
      </c>
      <c r="R149" s="59"/>
      <c r="S149" s="59"/>
      <c r="T149" s="59"/>
      <c r="U149" s="59"/>
    </row>
    <row r="150" spans="1:21" ht="15" x14ac:dyDescent="0.2">
      <c r="A150" s="95" t="s">
        <v>36</v>
      </c>
      <c r="B150" s="95"/>
      <c r="C150" s="95"/>
      <c r="D150" s="357" t="s">
        <v>359</v>
      </c>
      <c r="E150" s="357"/>
      <c r="F150" s="95">
        <v>138</v>
      </c>
      <c r="G150" s="100">
        <v>10222.92</v>
      </c>
      <c r="H150" s="100">
        <v>99.72987500000454</v>
      </c>
      <c r="I150" s="190">
        <v>99.72987500000454</v>
      </c>
      <c r="J150" s="100">
        <v>7800.6202599999906</v>
      </c>
      <c r="K150" s="100">
        <f>K13-K40</f>
        <v>1377.6816125000005</v>
      </c>
      <c r="L150" s="100">
        <f>L13-L40</f>
        <v>-1862.482775000004</v>
      </c>
      <c r="M150" s="100">
        <f>M13-M40</f>
        <v>-77.874662499991246</v>
      </c>
      <c r="N150" s="100">
        <f>N13-N40</f>
        <v>231.42845000000671</v>
      </c>
      <c r="O150" s="100">
        <f>N150/J150*100</f>
        <v>2.9667954891577684</v>
      </c>
      <c r="P150" s="101">
        <f>J150/G150*100</f>
        <v>76.305206927179228</v>
      </c>
      <c r="R150" s="309"/>
      <c r="S150" s="309"/>
      <c r="T150" s="309"/>
      <c r="U150" s="309"/>
    </row>
    <row r="151" spans="1:21" ht="15" x14ac:dyDescent="0.2">
      <c r="A151" s="110"/>
      <c r="B151" s="110"/>
      <c r="C151" s="110"/>
      <c r="D151" s="331"/>
      <c r="E151" s="331" t="s">
        <v>215</v>
      </c>
      <c r="F151" s="95">
        <v>139</v>
      </c>
      <c r="G151" s="192">
        <v>0</v>
      </c>
      <c r="H151" s="192">
        <v>0</v>
      </c>
      <c r="I151" s="193">
        <v>0</v>
      </c>
      <c r="J151" s="192">
        <v>0</v>
      </c>
      <c r="K151" s="192">
        <v>0</v>
      </c>
      <c r="L151" s="192">
        <v>0</v>
      </c>
      <c r="M151" s="192">
        <v>0</v>
      </c>
      <c r="N151" s="192">
        <v>0</v>
      </c>
      <c r="O151" s="100">
        <v>0</v>
      </c>
      <c r="P151" s="100">
        <v>0</v>
      </c>
      <c r="R151" s="47"/>
    </row>
    <row r="152" spans="1:21" ht="15.75" customHeight="1" x14ac:dyDescent="0.2">
      <c r="A152" s="110"/>
      <c r="B152" s="110"/>
      <c r="C152" s="110"/>
      <c r="D152" s="331"/>
      <c r="E152" s="331" t="s">
        <v>216</v>
      </c>
      <c r="F152" s="95">
        <v>140</v>
      </c>
      <c r="G152" s="192">
        <v>0</v>
      </c>
      <c r="H152" s="192">
        <v>0</v>
      </c>
      <c r="I152" s="193">
        <v>0</v>
      </c>
      <c r="J152" s="192">
        <v>0</v>
      </c>
      <c r="K152" s="192">
        <v>0</v>
      </c>
      <c r="L152" s="192">
        <v>0</v>
      </c>
      <c r="M152" s="192">
        <v>0</v>
      </c>
      <c r="N152" s="192">
        <v>0</v>
      </c>
      <c r="O152" s="100">
        <v>0</v>
      </c>
      <c r="P152" s="100">
        <v>0</v>
      </c>
    </row>
    <row r="153" spans="1:21" s="5" customFormat="1" ht="13.5" customHeight="1" x14ac:dyDescent="0.2">
      <c r="A153" s="199" t="s">
        <v>37</v>
      </c>
      <c r="B153" s="200"/>
      <c r="C153" s="200"/>
      <c r="D153" s="356" t="s">
        <v>320</v>
      </c>
      <c r="E153" s="356"/>
      <c r="F153" s="95">
        <v>141</v>
      </c>
      <c r="G153" s="194">
        <v>1802.538</v>
      </c>
      <c r="H153" s="194">
        <v>15.956780000000727</v>
      </c>
      <c r="I153" s="194">
        <v>15.956780000000727</v>
      </c>
      <c r="J153" s="194">
        <v>1073.46</v>
      </c>
      <c r="K153" s="194">
        <v>0</v>
      </c>
      <c r="L153" s="194">
        <v>0</v>
      </c>
      <c r="M153" s="194">
        <v>0</v>
      </c>
      <c r="N153" s="194">
        <f t="shared" ref="N153" si="10">N150*0.16</f>
        <v>37.028552000001071</v>
      </c>
      <c r="O153" s="100">
        <f>N153/J153*100</f>
        <v>3.4494580142717073</v>
      </c>
      <c r="P153" s="101">
        <f>J153/G153*100</f>
        <v>59.552697363384297</v>
      </c>
    </row>
    <row r="154" spans="1:21" ht="13.5" customHeight="1" x14ac:dyDescent="0.2">
      <c r="A154" s="201" t="s">
        <v>38</v>
      </c>
      <c r="B154" s="104"/>
      <c r="C154" s="111"/>
      <c r="D154" s="366" t="s">
        <v>68</v>
      </c>
      <c r="E154" s="366"/>
      <c r="F154" s="95"/>
      <c r="G154" s="367"/>
      <c r="H154" s="368"/>
      <c r="I154" s="368"/>
      <c r="J154" s="368"/>
      <c r="K154" s="368"/>
      <c r="L154" s="368"/>
      <c r="M154" s="368"/>
      <c r="N154" s="368"/>
      <c r="O154" s="368"/>
      <c r="P154" s="369"/>
      <c r="S154" s="60"/>
    </row>
    <row r="155" spans="1:21" ht="13.5" customHeight="1" x14ac:dyDescent="0.2">
      <c r="A155" s="202"/>
      <c r="B155" s="104">
        <v>1</v>
      </c>
      <c r="C155" s="111"/>
      <c r="D155" s="357" t="s">
        <v>217</v>
      </c>
      <c r="E155" s="357"/>
      <c r="F155" s="95">
        <v>142</v>
      </c>
      <c r="G155" s="105">
        <v>74646.595620000007</v>
      </c>
      <c r="H155" s="105">
        <f t="shared" ref="H155:I155" si="11">H14</f>
        <v>83700</v>
      </c>
      <c r="I155" s="105">
        <f t="shared" si="11"/>
        <v>83700</v>
      </c>
      <c r="J155" s="105">
        <f>J14</f>
        <v>84748.488540000006</v>
      </c>
      <c r="K155" s="105">
        <f>K14</f>
        <v>26150</v>
      </c>
      <c r="L155" s="105">
        <f>L14</f>
        <v>52900</v>
      </c>
      <c r="M155" s="105">
        <f>M14</f>
        <v>83040</v>
      </c>
      <c r="N155" s="105">
        <f>N14</f>
        <v>113610</v>
      </c>
      <c r="O155" s="100">
        <f>N155/J155*100</f>
        <v>134.05548813578875</v>
      </c>
      <c r="P155" s="100">
        <f>J155/G155*100</f>
        <v>113.5329586514906</v>
      </c>
      <c r="T155" s="60"/>
    </row>
    <row r="156" spans="1:21" ht="13.5" customHeight="1" x14ac:dyDescent="0.2">
      <c r="A156" s="202"/>
      <c r="B156" s="104"/>
      <c r="C156" s="111" t="s">
        <v>10</v>
      </c>
      <c r="D156" s="357" t="s">
        <v>218</v>
      </c>
      <c r="E156" s="357"/>
      <c r="F156" s="95">
        <v>143</v>
      </c>
      <c r="G156" s="105">
        <v>0</v>
      </c>
      <c r="H156" s="105">
        <v>0</v>
      </c>
      <c r="I156" s="105">
        <v>0</v>
      </c>
      <c r="J156" s="105">
        <v>0</v>
      </c>
      <c r="K156" s="105">
        <v>0</v>
      </c>
      <c r="L156" s="105">
        <v>0</v>
      </c>
      <c r="M156" s="105">
        <v>0</v>
      </c>
      <c r="N156" s="105">
        <v>0</v>
      </c>
      <c r="O156" s="100">
        <v>0</v>
      </c>
      <c r="P156" s="100">
        <v>0</v>
      </c>
    </row>
    <row r="157" spans="1:21" ht="26.45" customHeight="1" x14ac:dyDescent="0.2">
      <c r="A157" s="202"/>
      <c r="B157" s="104"/>
      <c r="C157" s="111" t="s">
        <v>12</v>
      </c>
      <c r="D157" s="357" t="s">
        <v>219</v>
      </c>
      <c r="E157" s="357"/>
      <c r="F157" s="95">
        <v>144</v>
      </c>
      <c r="G157" s="105">
        <v>0</v>
      </c>
      <c r="H157" s="105">
        <v>0</v>
      </c>
      <c r="I157" s="105">
        <v>0</v>
      </c>
      <c r="J157" s="105">
        <v>0</v>
      </c>
      <c r="K157" s="105">
        <v>0</v>
      </c>
      <c r="L157" s="105">
        <v>0</v>
      </c>
      <c r="M157" s="105">
        <v>0</v>
      </c>
      <c r="N157" s="105">
        <v>0</v>
      </c>
      <c r="O157" s="100">
        <v>0</v>
      </c>
      <c r="P157" s="100">
        <v>0</v>
      </c>
    </row>
    <row r="158" spans="1:21" ht="15.75" customHeight="1" x14ac:dyDescent="0.2">
      <c r="A158" s="202"/>
      <c r="B158" s="104">
        <v>2</v>
      </c>
      <c r="C158" s="111"/>
      <c r="D158" s="364" t="s">
        <v>360</v>
      </c>
      <c r="E158" s="365"/>
      <c r="F158" s="95">
        <v>145</v>
      </c>
      <c r="G158" s="105">
        <v>64250.521939999999</v>
      </c>
      <c r="H158" s="105">
        <v>82690.270124999995</v>
      </c>
      <c r="I158" s="105">
        <v>82690.270124999995</v>
      </c>
      <c r="J158" s="105">
        <v>77919.779440000013</v>
      </c>
      <c r="K158" s="105">
        <f>K41</f>
        <v>24552.3183875</v>
      </c>
      <c r="L158" s="105">
        <f t="shared" ref="L158:N158" si="12">L41</f>
        <v>54317.482775000004</v>
      </c>
      <c r="M158" s="105">
        <f t="shared" si="12"/>
        <v>82457.874662499991</v>
      </c>
      <c r="N158" s="105">
        <f t="shared" si="12"/>
        <v>112513.57154999999</v>
      </c>
      <c r="O158" s="100">
        <f>N158/J158*100</f>
        <v>144.39667611820948</v>
      </c>
      <c r="P158" s="100">
        <f>J158/G158*100</f>
        <v>121.27493612077575</v>
      </c>
    </row>
    <row r="159" spans="1:21" ht="42.75" customHeight="1" x14ac:dyDescent="0.2">
      <c r="A159" s="202"/>
      <c r="B159" s="104"/>
      <c r="C159" s="111" t="s">
        <v>10</v>
      </c>
      <c r="D159" s="364" t="s">
        <v>361</v>
      </c>
      <c r="E159" s="365"/>
      <c r="F159" s="95">
        <v>146</v>
      </c>
      <c r="G159" s="105">
        <v>0</v>
      </c>
      <c r="H159" s="105">
        <v>0</v>
      </c>
      <c r="I159" s="105">
        <v>0</v>
      </c>
      <c r="J159" s="105">
        <v>0</v>
      </c>
      <c r="K159" s="105">
        <v>0</v>
      </c>
      <c r="L159" s="105">
        <v>0</v>
      </c>
      <c r="M159" s="105">
        <v>0</v>
      </c>
      <c r="N159" s="105">
        <v>0</v>
      </c>
      <c r="O159" s="105">
        <v>0</v>
      </c>
      <c r="P159" s="105">
        <v>0</v>
      </c>
    </row>
    <row r="160" spans="1:21" ht="13.5" customHeight="1" x14ac:dyDescent="0.2">
      <c r="A160" s="202"/>
      <c r="B160" s="104">
        <v>3</v>
      </c>
      <c r="C160" s="111"/>
      <c r="D160" s="357" t="s">
        <v>362</v>
      </c>
      <c r="E160" s="357"/>
      <c r="F160" s="95">
        <v>147</v>
      </c>
      <c r="G160" s="105">
        <v>28725.481820000001</v>
      </c>
      <c r="H160" s="105">
        <v>33443.599999999999</v>
      </c>
      <c r="I160" s="105">
        <v>33443.599999999999</v>
      </c>
      <c r="J160" s="105">
        <v>32074.615829999999</v>
      </c>
      <c r="K160" s="105">
        <f>K98</f>
        <v>10352.200000000001</v>
      </c>
      <c r="L160" s="105">
        <f>L98</f>
        <v>22428.400000000001</v>
      </c>
      <c r="M160" s="105">
        <f>M98</f>
        <v>32538.6</v>
      </c>
      <c r="N160" s="105">
        <f>N98</f>
        <v>44422.8</v>
      </c>
      <c r="O160" s="100">
        <f>N160/J160*100</f>
        <v>138.49830730770753</v>
      </c>
      <c r="P160" s="101">
        <f>J160/G160*100</f>
        <v>111.65910473142414</v>
      </c>
    </row>
    <row r="161" spans="1:21" ht="56.25" customHeight="1" x14ac:dyDescent="0.2">
      <c r="A161" s="202"/>
      <c r="B161" s="104"/>
      <c r="C161" s="111" t="s">
        <v>10</v>
      </c>
      <c r="D161" s="355" t="s">
        <v>459</v>
      </c>
      <c r="E161" s="355"/>
      <c r="F161" s="106" t="s">
        <v>363</v>
      </c>
      <c r="G161" s="105">
        <v>0</v>
      </c>
      <c r="H161" s="105">
        <v>14.456</v>
      </c>
      <c r="I161" s="105">
        <v>14.456</v>
      </c>
      <c r="J161" s="105">
        <v>14.456</v>
      </c>
      <c r="K161" s="105" t="s">
        <v>220</v>
      </c>
      <c r="L161" s="105" t="s">
        <v>220</v>
      </c>
      <c r="M161" s="105" t="s">
        <v>220</v>
      </c>
      <c r="N161" s="105">
        <v>0</v>
      </c>
      <c r="O161" s="192"/>
      <c r="P161" s="312"/>
    </row>
    <row r="162" spans="1:21" ht="44.25" customHeight="1" x14ac:dyDescent="0.25">
      <c r="A162" s="202"/>
      <c r="B162" s="104"/>
      <c r="C162" s="111" t="s">
        <v>12</v>
      </c>
      <c r="D162" s="355" t="s">
        <v>460</v>
      </c>
      <c r="E162" s="355"/>
      <c r="F162" s="106" t="s">
        <v>364</v>
      </c>
      <c r="G162" s="105">
        <v>2003.1608799999999</v>
      </c>
      <c r="H162" s="105">
        <v>0</v>
      </c>
      <c r="I162" s="105">
        <v>0</v>
      </c>
      <c r="J162" s="105">
        <v>0</v>
      </c>
      <c r="K162" s="105" t="s">
        <v>220</v>
      </c>
      <c r="L162" s="105" t="s">
        <v>220</v>
      </c>
      <c r="M162" s="105" t="s">
        <v>220</v>
      </c>
      <c r="N162" s="310">
        <v>7071.7</v>
      </c>
      <c r="O162" s="311"/>
      <c r="P162" s="314"/>
      <c r="Q162" s="173"/>
      <c r="R162" s="362"/>
      <c r="S162" s="362"/>
      <c r="T162" s="174"/>
      <c r="U162" s="174"/>
    </row>
    <row r="163" spans="1:21" ht="40.5" customHeight="1" x14ac:dyDescent="0.25">
      <c r="A163" s="202"/>
      <c r="B163" s="104"/>
      <c r="C163" s="111" t="s">
        <v>48</v>
      </c>
      <c r="D163" s="358" t="s">
        <v>458</v>
      </c>
      <c r="E163" s="359"/>
      <c r="F163" s="106" t="s">
        <v>414</v>
      </c>
      <c r="G163" s="105">
        <v>0</v>
      </c>
      <c r="H163" s="105">
        <v>3741.0659999999989</v>
      </c>
      <c r="I163" s="105">
        <v>3741.0659999999989</v>
      </c>
      <c r="J163" s="105">
        <v>3741.0659999999989</v>
      </c>
      <c r="K163" s="105" t="s">
        <v>220</v>
      </c>
      <c r="L163" s="105" t="s">
        <v>220</v>
      </c>
      <c r="M163" s="105" t="s">
        <v>220</v>
      </c>
      <c r="N163" s="105">
        <f>I98*1.096-I98</f>
        <v>3210.5856000000058</v>
      </c>
      <c r="O163" s="107"/>
      <c r="P163" s="313"/>
      <c r="Q163" s="173"/>
      <c r="R163" s="175"/>
      <c r="S163" s="175"/>
      <c r="T163" s="174"/>
      <c r="U163" s="174"/>
    </row>
    <row r="164" spans="1:21" ht="12.75" customHeight="1" x14ac:dyDescent="0.2">
      <c r="A164" s="361"/>
      <c r="B164" s="89">
        <v>4</v>
      </c>
      <c r="C164" s="95"/>
      <c r="D164" s="357" t="s">
        <v>69</v>
      </c>
      <c r="E164" s="357"/>
      <c r="F164" s="95">
        <v>148</v>
      </c>
      <c r="G164" s="100">
        <v>454</v>
      </c>
      <c r="H164" s="100">
        <v>455</v>
      </c>
      <c r="I164" s="100">
        <v>455</v>
      </c>
      <c r="J164" s="100">
        <v>432</v>
      </c>
      <c r="K164" s="100" t="s">
        <v>220</v>
      </c>
      <c r="L164" s="100" t="s">
        <v>220</v>
      </c>
      <c r="M164" s="100" t="s">
        <v>220</v>
      </c>
      <c r="N164" s="100">
        <v>455</v>
      </c>
      <c r="O164" s="102">
        <f t="shared" ref="O164:O170" si="13">N164/J164*100</f>
        <v>105.32407407407408</v>
      </c>
      <c r="P164" s="108">
        <f t="shared" ref="P164:P165" si="14">J164/G164*100</f>
        <v>95.154185022026425</v>
      </c>
    </row>
    <row r="165" spans="1:21" ht="12.75" customHeight="1" x14ac:dyDescent="0.2">
      <c r="A165" s="361"/>
      <c r="B165" s="89">
        <v>5</v>
      </c>
      <c r="C165" s="95"/>
      <c r="D165" s="357" t="s">
        <v>221</v>
      </c>
      <c r="E165" s="357"/>
      <c r="F165" s="95">
        <v>149</v>
      </c>
      <c r="G165" s="100">
        <v>427</v>
      </c>
      <c r="H165" s="100">
        <v>427</v>
      </c>
      <c r="I165" s="100">
        <v>427</v>
      </c>
      <c r="J165" s="100">
        <v>421</v>
      </c>
      <c r="K165" s="100" t="s">
        <v>220</v>
      </c>
      <c r="L165" s="100" t="s">
        <v>220</v>
      </c>
      <c r="M165" s="100" t="s">
        <v>220</v>
      </c>
      <c r="N165" s="100">
        <v>428</v>
      </c>
      <c r="O165" s="102">
        <f t="shared" si="13"/>
        <v>101.66270783847982</v>
      </c>
      <c r="P165" s="108">
        <f t="shared" si="14"/>
        <v>98.594847775175637</v>
      </c>
    </row>
    <row r="166" spans="1:21" ht="26.25" customHeight="1" x14ac:dyDescent="0.2">
      <c r="A166" s="361"/>
      <c r="B166" s="89">
        <v>6</v>
      </c>
      <c r="C166" s="95" t="s">
        <v>10</v>
      </c>
      <c r="D166" s="355" t="s">
        <v>365</v>
      </c>
      <c r="E166" s="355"/>
      <c r="F166" s="95">
        <v>150</v>
      </c>
      <c r="G166" s="100">
        <v>5606.0659289617488</v>
      </c>
      <c r="H166" s="100">
        <v>6526.8540202966424</v>
      </c>
      <c r="I166" s="100">
        <v>6526.8540202966424</v>
      </c>
      <c r="J166" s="100">
        <f>(J160/J165)/12*1000</f>
        <v>6348.8946615201903</v>
      </c>
      <c r="K166" s="100" t="s">
        <v>220</v>
      </c>
      <c r="L166" s="100" t="s">
        <v>220</v>
      </c>
      <c r="M166" s="100" t="s">
        <v>220</v>
      </c>
      <c r="N166" s="100">
        <f>(N160/N165)/12*1000</f>
        <v>8649.2990654205623</v>
      </c>
      <c r="O166" s="197">
        <f>N166/J166*100</f>
        <v>136.23314807603941</v>
      </c>
      <c r="P166" s="176">
        <f>J166/G166*100</f>
        <v>113.25044589149194</v>
      </c>
    </row>
    <row r="167" spans="1:21" ht="38.25" customHeight="1" x14ac:dyDescent="0.2">
      <c r="A167" s="361"/>
      <c r="B167" s="89"/>
      <c r="C167" s="95" t="s">
        <v>222</v>
      </c>
      <c r="D167" s="355" t="s">
        <v>463</v>
      </c>
      <c r="E167" s="355"/>
      <c r="F167" s="95">
        <v>151</v>
      </c>
      <c r="G167" s="100">
        <v>5431.9188134270098</v>
      </c>
      <c r="H167" s="100">
        <f t="shared" ref="H167:I167" si="15">((H160-H104-H109)/H165)/12*1000</f>
        <v>6429.7423887587829</v>
      </c>
      <c r="I167" s="100">
        <f t="shared" si="15"/>
        <v>6429.7423887587829</v>
      </c>
      <c r="J167" s="100">
        <f>((J160-J104-J109)/J165)/12*1000</f>
        <v>6259.9037509897071</v>
      </c>
      <c r="K167" s="100" t="s">
        <v>220</v>
      </c>
      <c r="L167" s="100" t="s">
        <v>220</v>
      </c>
      <c r="M167" s="100" t="s">
        <v>220</v>
      </c>
      <c r="N167" s="100">
        <f>((N160-N104-N109)/N165)/12*1000</f>
        <v>8426.401869158879</v>
      </c>
      <c r="O167" s="197">
        <f>N167/J167*100</f>
        <v>134.60912826058455</v>
      </c>
      <c r="P167" s="176">
        <f>J167/G167*100</f>
        <v>115.24295494836971</v>
      </c>
      <c r="U167" s="46"/>
    </row>
    <row r="168" spans="1:21" ht="65.25" customHeight="1" x14ac:dyDescent="0.2">
      <c r="A168" s="361"/>
      <c r="B168" s="89"/>
      <c r="C168" s="95" t="s">
        <v>48</v>
      </c>
      <c r="D168" s="355" t="s">
        <v>464</v>
      </c>
      <c r="E168" s="355"/>
      <c r="F168" s="95">
        <v>152</v>
      </c>
      <c r="G168" s="100">
        <v>5040.9818735362996</v>
      </c>
      <c r="H168" s="100">
        <f>((H160-H104-H109-H161-H162)/H165)/12*1000</f>
        <v>6426.921155347386</v>
      </c>
      <c r="I168" s="100">
        <f>((I160-I104-I109-I161-I162)/I165)/12*1000</f>
        <v>6426.921155347386</v>
      </c>
      <c r="J168" s="100">
        <f>((J160-J104-J109-J161-J162)/J165)/12*1000</f>
        <v>6257.0423099762465</v>
      </c>
      <c r="K168" s="100" t="s">
        <v>220</v>
      </c>
      <c r="L168" s="100" t="s">
        <v>220</v>
      </c>
      <c r="M168" s="100" t="s">
        <v>220</v>
      </c>
      <c r="N168" s="100">
        <f>((N160-N104-N109-N161-N162)/N165)/12*1000</f>
        <v>7049.5132398753904</v>
      </c>
      <c r="O168" s="197">
        <f>N168/J168*100</f>
        <v>112.66526404393376</v>
      </c>
      <c r="P168" s="108">
        <f>J168/G168*100</f>
        <v>124.12348361782281</v>
      </c>
      <c r="U168" s="46"/>
    </row>
    <row r="169" spans="1:21" ht="29.25" customHeight="1" x14ac:dyDescent="0.2">
      <c r="A169" s="361"/>
      <c r="B169" s="89">
        <v>7</v>
      </c>
      <c r="C169" s="95" t="s">
        <v>10</v>
      </c>
      <c r="D169" s="355" t="s">
        <v>366</v>
      </c>
      <c r="E169" s="355"/>
      <c r="F169" s="95">
        <v>153</v>
      </c>
      <c r="G169" s="100">
        <v>174.81638318501172</v>
      </c>
      <c r="H169" s="102">
        <f t="shared" ref="H169:I169" si="16">H155/H165</f>
        <v>196.01873536299766</v>
      </c>
      <c r="I169" s="102">
        <f t="shared" si="16"/>
        <v>196.01873536299766</v>
      </c>
      <c r="J169" s="102">
        <f>J155/J165</f>
        <v>201.30282313539195</v>
      </c>
      <c r="K169" s="100" t="s">
        <v>220</v>
      </c>
      <c r="L169" s="100" t="s">
        <v>220</v>
      </c>
      <c r="M169" s="100" t="s">
        <v>220</v>
      </c>
      <c r="N169" s="102">
        <f>N155/N165</f>
        <v>265.44392523364485</v>
      </c>
      <c r="O169" s="197">
        <f>N169/J169*100</f>
        <v>131.86299183450248</v>
      </c>
      <c r="P169" s="108">
        <f>J169/G169*100</f>
        <v>115.15100556813893</v>
      </c>
      <c r="Q169" s="33"/>
    </row>
    <row r="170" spans="1:21" ht="28.15" customHeight="1" x14ac:dyDescent="0.2">
      <c r="A170" s="361"/>
      <c r="B170" s="89"/>
      <c r="C170" s="95" t="s">
        <v>12</v>
      </c>
      <c r="D170" s="355" t="s">
        <v>462</v>
      </c>
      <c r="E170" s="355"/>
      <c r="F170" s="95">
        <v>154</v>
      </c>
      <c r="G170" s="100">
        <v>166.65279302107729</v>
      </c>
      <c r="H170" s="102">
        <f t="shared" ref="H170:I170" si="17">H169</f>
        <v>196.01873536299766</v>
      </c>
      <c r="I170" s="102">
        <f t="shared" si="17"/>
        <v>196.01873536299766</v>
      </c>
      <c r="J170" s="102">
        <f>J169</f>
        <v>201.30282313539195</v>
      </c>
      <c r="K170" s="100" t="s">
        <v>220</v>
      </c>
      <c r="L170" s="100" t="s">
        <v>220</v>
      </c>
      <c r="M170" s="100" t="s">
        <v>220</v>
      </c>
      <c r="N170" s="102">
        <f>N169</f>
        <v>265.44392523364485</v>
      </c>
      <c r="O170" s="197">
        <f t="shared" si="13"/>
        <v>131.86299183450248</v>
      </c>
      <c r="P170" s="108">
        <f>J170/G170*100</f>
        <v>120.79174881271406</v>
      </c>
    </row>
    <row r="171" spans="1:21" ht="27" customHeight="1" x14ac:dyDescent="0.2">
      <c r="A171" s="361"/>
      <c r="B171" s="89"/>
      <c r="C171" s="95" t="s">
        <v>48</v>
      </c>
      <c r="D171" s="355" t="s">
        <v>367</v>
      </c>
      <c r="E171" s="355"/>
      <c r="F171" s="95">
        <v>155</v>
      </c>
      <c r="G171" s="100">
        <v>0</v>
      </c>
      <c r="H171" s="100">
        <v>0</v>
      </c>
      <c r="I171" s="100">
        <v>0</v>
      </c>
      <c r="J171" s="100">
        <v>0</v>
      </c>
      <c r="K171" s="100" t="s">
        <v>220</v>
      </c>
      <c r="L171" s="100" t="s">
        <v>220</v>
      </c>
      <c r="M171" s="100" t="s">
        <v>220</v>
      </c>
      <c r="N171" s="100">
        <v>0</v>
      </c>
      <c r="O171" s="100">
        <v>0</v>
      </c>
      <c r="P171" s="100">
        <v>0</v>
      </c>
    </row>
    <row r="172" spans="1:21" ht="15" customHeight="1" x14ac:dyDescent="0.2">
      <c r="A172" s="361"/>
      <c r="B172" s="89"/>
      <c r="C172" s="95" t="s">
        <v>139</v>
      </c>
      <c r="D172" s="355" t="s">
        <v>223</v>
      </c>
      <c r="E172" s="355"/>
      <c r="F172" s="95">
        <v>156</v>
      </c>
      <c r="G172" s="100">
        <v>0</v>
      </c>
      <c r="H172" s="100">
        <v>0</v>
      </c>
      <c r="I172" s="100">
        <v>0</v>
      </c>
      <c r="J172" s="100">
        <v>0</v>
      </c>
      <c r="K172" s="100" t="s">
        <v>220</v>
      </c>
      <c r="L172" s="100" t="s">
        <v>220</v>
      </c>
      <c r="M172" s="100" t="s">
        <v>220</v>
      </c>
      <c r="N172" s="100">
        <v>0</v>
      </c>
      <c r="O172" s="100">
        <v>0</v>
      </c>
      <c r="P172" s="100">
        <v>0</v>
      </c>
    </row>
    <row r="173" spans="1:21" ht="15" customHeight="1" x14ac:dyDescent="0.2">
      <c r="A173" s="361"/>
      <c r="B173" s="89"/>
      <c r="C173" s="95"/>
      <c r="D173" s="321"/>
      <c r="E173" s="321" t="s">
        <v>224</v>
      </c>
      <c r="F173" s="95">
        <v>157</v>
      </c>
      <c r="G173" s="100">
        <v>0</v>
      </c>
      <c r="H173" s="100">
        <v>0</v>
      </c>
      <c r="I173" s="100">
        <v>0</v>
      </c>
      <c r="J173" s="100">
        <v>0</v>
      </c>
      <c r="K173" s="100" t="s">
        <v>220</v>
      </c>
      <c r="L173" s="100" t="s">
        <v>220</v>
      </c>
      <c r="M173" s="100" t="s">
        <v>220</v>
      </c>
      <c r="N173" s="100">
        <v>0</v>
      </c>
      <c r="O173" s="100">
        <v>0</v>
      </c>
      <c r="P173" s="100">
        <v>0</v>
      </c>
    </row>
    <row r="174" spans="1:21" ht="15" customHeight="1" x14ac:dyDescent="0.2">
      <c r="A174" s="361"/>
      <c r="B174" s="89"/>
      <c r="C174" s="95"/>
      <c r="D174" s="321"/>
      <c r="E174" s="321" t="s">
        <v>225</v>
      </c>
      <c r="F174" s="95">
        <v>158</v>
      </c>
      <c r="G174" s="100">
        <v>0</v>
      </c>
      <c r="H174" s="100">
        <v>0</v>
      </c>
      <c r="I174" s="100">
        <v>0</v>
      </c>
      <c r="J174" s="100">
        <v>0</v>
      </c>
      <c r="K174" s="100" t="s">
        <v>220</v>
      </c>
      <c r="L174" s="100" t="s">
        <v>220</v>
      </c>
      <c r="M174" s="100" t="s">
        <v>220</v>
      </c>
      <c r="N174" s="100">
        <v>0</v>
      </c>
      <c r="O174" s="100">
        <v>0</v>
      </c>
      <c r="P174" s="100">
        <v>0</v>
      </c>
    </row>
    <row r="175" spans="1:21" ht="15" customHeight="1" x14ac:dyDescent="0.2">
      <c r="A175" s="361"/>
      <c r="B175" s="89"/>
      <c r="C175" s="95"/>
      <c r="D175" s="321"/>
      <c r="E175" s="321" t="s">
        <v>226</v>
      </c>
      <c r="F175" s="95">
        <v>159</v>
      </c>
      <c r="G175" s="100">
        <v>0</v>
      </c>
      <c r="H175" s="100">
        <v>0</v>
      </c>
      <c r="I175" s="100">
        <v>0</v>
      </c>
      <c r="J175" s="100">
        <v>0</v>
      </c>
      <c r="K175" s="100" t="s">
        <v>220</v>
      </c>
      <c r="L175" s="100" t="s">
        <v>220</v>
      </c>
      <c r="M175" s="100" t="s">
        <v>220</v>
      </c>
      <c r="N175" s="100">
        <v>0</v>
      </c>
      <c r="O175" s="100">
        <v>0</v>
      </c>
      <c r="P175" s="100">
        <v>0</v>
      </c>
    </row>
    <row r="176" spans="1:21" ht="15" customHeight="1" x14ac:dyDescent="0.2">
      <c r="A176" s="361"/>
      <c r="B176" s="89"/>
      <c r="C176" s="95"/>
      <c r="D176" s="321"/>
      <c r="E176" s="321" t="s">
        <v>371</v>
      </c>
      <c r="F176" s="95">
        <v>160</v>
      </c>
      <c r="G176" s="100">
        <v>0</v>
      </c>
      <c r="H176" s="100">
        <v>0</v>
      </c>
      <c r="I176" s="100">
        <v>0</v>
      </c>
      <c r="J176" s="100">
        <v>0</v>
      </c>
      <c r="K176" s="100" t="s">
        <v>220</v>
      </c>
      <c r="L176" s="100" t="s">
        <v>220</v>
      </c>
      <c r="M176" s="100" t="s">
        <v>220</v>
      </c>
      <c r="N176" s="100">
        <v>0</v>
      </c>
      <c r="O176" s="100">
        <v>0</v>
      </c>
      <c r="P176" s="100">
        <v>0</v>
      </c>
    </row>
    <row r="177" spans="1:16" ht="15.75" customHeight="1" x14ac:dyDescent="0.2">
      <c r="A177" s="109"/>
      <c r="B177" s="89">
        <v>8</v>
      </c>
      <c r="C177" s="95"/>
      <c r="D177" s="356" t="s">
        <v>73</v>
      </c>
      <c r="E177" s="356"/>
      <c r="F177" s="95">
        <v>161</v>
      </c>
      <c r="G177" s="100">
        <v>0</v>
      </c>
      <c r="H177" s="100">
        <v>0</v>
      </c>
      <c r="I177" s="100">
        <v>0</v>
      </c>
      <c r="J177" s="100">
        <v>0</v>
      </c>
      <c r="K177" s="100">
        <v>0</v>
      </c>
      <c r="L177" s="100">
        <v>0</v>
      </c>
      <c r="M177" s="100">
        <v>0</v>
      </c>
      <c r="N177" s="100">
        <v>0</v>
      </c>
      <c r="O177" s="100">
        <v>0</v>
      </c>
      <c r="P177" s="100">
        <v>0</v>
      </c>
    </row>
    <row r="178" spans="1:16" ht="15" x14ac:dyDescent="0.2">
      <c r="A178" s="109"/>
      <c r="B178" s="89">
        <v>9</v>
      </c>
      <c r="C178" s="95"/>
      <c r="D178" s="356" t="s">
        <v>385</v>
      </c>
      <c r="E178" s="356"/>
      <c r="F178" s="95">
        <v>162</v>
      </c>
      <c r="G178" s="100">
        <v>7447.3553700000002</v>
      </c>
      <c r="H178" s="100">
        <v>7435</v>
      </c>
      <c r="I178" s="100">
        <v>7435</v>
      </c>
      <c r="J178" s="100">
        <f>SUM(J179:J183)</f>
        <v>7769.1654200000003</v>
      </c>
      <c r="K178" s="100">
        <f>SUM(K179:K183)</f>
        <v>10488.373317000001</v>
      </c>
      <c r="L178" s="100">
        <f t="shared" ref="L178:N178" si="18">SUM(L179:L183)</f>
        <v>10488.373317000001</v>
      </c>
      <c r="M178" s="100">
        <f t="shared" si="18"/>
        <v>10488.373317000001</v>
      </c>
      <c r="N178" s="100">
        <f t="shared" si="18"/>
        <v>10488.373317000001</v>
      </c>
      <c r="O178" s="209">
        <f>N178/J178*100</f>
        <v>135</v>
      </c>
      <c r="P178" s="102">
        <f>J178/G178*100</f>
        <v>104.32113191880623</v>
      </c>
    </row>
    <row r="179" spans="1:16" ht="15" x14ac:dyDescent="0.2">
      <c r="A179" s="110"/>
      <c r="B179" s="89"/>
      <c r="C179" s="95"/>
      <c r="D179" s="332"/>
      <c r="E179" s="321" t="s">
        <v>227</v>
      </c>
      <c r="F179" s="95">
        <v>163</v>
      </c>
      <c r="G179" s="100">
        <v>19.428709999999999</v>
      </c>
      <c r="H179" s="100">
        <v>15</v>
      </c>
      <c r="I179" s="100">
        <v>15</v>
      </c>
      <c r="J179" s="100">
        <f>13911.01/1000</f>
        <v>13.911010000000001</v>
      </c>
      <c r="K179" s="100">
        <f>J179*1.35</f>
        <v>18.779863500000001</v>
      </c>
      <c r="L179" s="100">
        <v>18.779863500000001</v>
      </c>
      <c r="M179" s="100">
        <v>18.779863500000001</v>
      </c>
      <c r="N179" s="100">
        <v>18.779863500000001</v>
      </c>
      <c r="O179" s="209">
        <f>N179/J179*100</f>
        <v>135</v>
      </c>
      <c r="P179" s="102">
        <f>J179/G179*100</f>
        <v>71.600276086266163</v>
      </c>
    </row>
    <row r="180" spans="1:16" ht="15" customHeight="1" x14ac:dyDescent="0.2">
      <c r="A180" s="109"/>
      <c r="B180" s="89"/>
      <c r="C180" s="95"/>
      <c r="D180" s="332"/>
      <c r="E180" s="321" t="s">
        <v>228</v>
      </c>
      <c r="F180" s="95">
        <v>164</v>
      </c>
      <c r="G180" s="100">
        <v>5443.1073699999997</v>
      </c>
      <c r="H180" s="100">
        <v>5440</v>
      </c>
      <c r="I180" s="100">
        <v>5440</v>
      </c>
      <c r="J180" s="100">
        <f>5705992.2/1000</f>
        <v>5705.9922000000006</v>
      </c>
      <c r="K180" s="100">
        <f>J180*1.35</f>
        <v>7703.0894700000017</v>
      </c>
      <c r="L180" s="100">
        <f>K180</f>
        <v>7703.0894700000017</v>
      </c>
      <c r="M180" s="100">
        <f>L180</f>
        <v>7703.0894700000017</v>
      </c>
      <c r="N180" s="100">
        <f>M180</f>
        <v>7703.0894700000017</v>
      </c>
      <c r="O180" s="209">
        <f>N180/J180*100</f>
        <v>135</v>
      </c>
      <c r="P180" s="102">
        <f>J180/G180*100</f>
        <v>104.82968297573746</v>
      </c>
    </row>
    <row r="181" spans="1:16" ht="15" customHeight="1" x14ac:dyDescent="0.2">
      <c r="A181" s="109"/>
      <c r="B181" s="89"/>
      <c r="C181" s="95"/>
      <c r="D181" s="332"/>
      <c r="E181" s="332" t="s">
        <v>229</v>
      </c>
      <c r="F181" s="95">
        <v>165</v>
      </c>
      <c r="G181" s="100">
        <v>0</v>
      </c>
      <c r="H181" s="100">
        <v>0</v>
      </c>
      <c r="I181" s="100">
        <v>0</v>
      </c>
      <c r="J181" s="100">
        <v>0</v>
      </c>
      <c r="K181" s="100">
        <v>0</v>
      </c>
      <c r="L181" s="100">
        <v>0</v>
      </c>
      <c r="M181" s="100">
        <v>0</v>
      </c>
      <c r="N181" s="100">
        <v>0</v>
      </c>
      <c r="O181" s="210">
        <v>0</v>
      </c>
      <c r="P181" s="100">
        <v>0</v>
      </c>
    </row>
    <row r="182" spans="1:16" ht="15" customHeight="1" x14ac:dyDescent="0.2">
      <c r="A182" s="109"/>
      <c r="B182" s="89"/>
      <c r="C182" s="95"/>
      <c r="D182" s="332"/>
      <c r="E182" s="332" t="s">
        <v>230</v>
      </c>
      <c r="F182" s="95">
        <v>166</v>
      </c>
      <c r="G182" s="100">
        <v>0</v>
      </c>
      <c r="H182" s="100">
        <v>0</v>
      </c>
      <c r="I182" s="100">
        <v>0</v>
      </c>
      <c r="J182" s="100">
        <v>0</v>
      </c>
      <c r="K182" s="100">
        <v>0</v>
      </c>
      <c r="L182" s="100">
        <v>0</v>
      </c>
      <c r="M182" s="100">
        <v>0</v>
      </c>
      <c r="N182" s="100">
        <v>0</v>
      </c>
      <c r="O182" s="210">
        <v>0</v>
      </c>
      <c r="P182" s="100">
        <v>0</v>
      </c>
    </row>
    <row r="183" spans="1:16" ht="15" customHeight="1" x14ac:dyDescent="0.2">
      <c r="A183" s="111"/>
      <c r="B183" s="89"/>
      <c r="C183" s="95"/>
      <c r="D183" s="332"/>
      <c r="E183" s="332" t="s">
        <v>292</v>
      </c>
      <c r="F183" s="95">
        <v>167</v>
      </c>
      <c r="G183" s="100">
        <v>1984.8192900000001</v>
      </c>
      <c r="H183" s="100">
        <v>1980</v>
      </c>
      <c r="I183" s="100">
        <v>1980</v>
      </c>
      <c r="J183" s="100">
        <f>2049262.21/1000</f>
        <v>2049.2622099999999</v>
      </c>
      <c r="K183" s="100">
        <f>J183*1.35</f>
        <v>2766.5039835000002</v>
      </c>
      <c r="L183" s="100">
        <f>K183</f>
        <v>2766.5039835000002</v>
      </c>
      <c r="M183" s="100">
        <f>L183</f>
        <v>2766.5039835000002</v>
      </c>
      <c r="N183" s="100">
        <f>M183</f>
        <v>2766.5039835000002</v>
      </c>
      <c r="O183" s="209">
        <f>N183/J183*100</f>
        <v>135</v>
      </c>
      <c r="P183" s="102">
        <f>J183/G183*100</f>
        <v>103.24679029091861</v>
      </c>
    </row>
    <row r="184" spans="1:16" ht="29.25" customHeight="1" x14ac:dyDescent="0.2">
      <c r="A184" s="110"/>
      <c r="B184" s="110">
        <v>10</v>
      </c>
      <c r="C184" s="110"/>
      <c r="D184" s="354" t="s">
        <v>231</v>
      </c>
      <c r="E184" s="354"/>
      <c r="F184" s="110">
        <v>168</v>
      </c>
      <c r="G184" s="192">
        <v>0</v>
      </c>
      <c r="H184" s="192">
        <v>0</v>
      </c>
      <c r="I184" s="192">
        <v>0</v>
      </c>
      <c r="J184" s="192">
        <v>0</v>
      </c>
      <c r="K184" s="192">
        <v>0</v>
      </c>
      <c r="L184" s="192">
        <v>0</v>
      </c>
      <c r="M184" s="192">
        <v>0</v>
      </c>
      <c r="N184" s="192">
        <v>0</v>
      </c>
      <c r="O184" s="192">
        <v>0</v>
      </c>
      <c r="P184" s="192">
        <v>0</v>
      </c>
    </row>
    <row r="185" spans="1:16" ht="11.25" customHeight="1" x14ac:dyDescent="0.2">
      <c r="A185" s="112"/>
      <c r="B185" s="112">
        <v>11</v>
      </c>
      <c r="C185" s="112"/>
      <c r="D185" s="373" t="s">
        <v>368</v>
      </c>
      <c r="E185" s="374"/>
      <c r="F185" s="112">
        <v>169</v>
      </c>
      <c r="G185" s="192">
        <v>0</v>
      </c>
      <c r="H185" s="192">
        <v>0</v>
      </c>
      <c r="I185" s="192">
        <v>0</v>
      </c>
      <c r="J185" s="192">
        <v>0</v>
      </c>
      <c r="K185" s="192">
        <v>0</v>
      </c>
      <c r="L185" s="192">
        <v>0</v>
      </c>
      <c r="M185" s="192">
        <v>0</v>
      </c>
      <c r="N185" s="192">
        <v>0</v>
      </c>
      <c r="O185" s="192">
        <v>0</v>
      </c>
      <c r="P185" s="192">
        <v>0</v>
      </c>
    </row>
    <row r="186" spans="1:16" ht="11.25" customHeight="1" x14ac:dyDescent="0.2">
      <c r="A186" s="113"/>
      <c r="B186" s="113"/>
      <c r="C186" s="113"/>
      <c r="D186" s="320"/>
      <c r="E186" s="320" t="s">
        <v>369</v>
      </c>
      <c r="F186" s="113">
        <v>170</v>
      </c>
      <c r="G186" s="192">
        <v>0</v>
      </c>
      <c r="H186" s="192">
        <v>0</v>
      </c>
      <c r="I186" s="192">
        <v>0</v>
      </c>
      <c r="J186" s="192">
        <v>0</v>
      </c>
      <c r="K186" s="192">
        <v>0</v>
      </c>
      <c r="L186" s="192">
        <v>0</v>
      </c>
      <c r="M186" s="192">
        <v>0</v>
      </c>
      <c r="N186" s="192">
        <v>0</v>
      </c>
      <c r="O186" s="192">
        <v>0</v>
      </c>
      <c r="P186" s="192">
        <v>0</v>
      </c>
    </row>
    <row r="187" spans="1:16" ht="11.25" customHeight="1" x14ac:dyDescent="0.2">
      <c r="A187" s="113"/>
      <c r="B187" s="113"/>
      <c r="C187" s="113"/>
      <c r="D187" s="320"/>
      <c r="E187" s="320" t="s">
        <v>370</v>
      </c>
      <c r="F187" s="113">
        <v>171</v>
      </c>
      <c r="G187" s="80">
        <v>0</v>
      </c>
      <c r="H187" s="80">
        <v>0</v>
      </c>
      <c r="I187" s="80">
        <v>0</v>
      </c>
      <c r="J187" s="80">
        <v>0</v>
      </c>
      <c r="K187" s="80">
        <v>0</v>
      </c>
      <c r="L187" s="80">
        <v>0</v>
      </c>
      <c r="M187" s="80">
        <v>0</v>
      </c>
      <c r="N187" s="80">
        <v>0</v>
      </c>
      <c r="O187" s="80">
        <v>0</v>
      </c>
      <c r="P187" s="80">
        <v>0</v>
      </c>
    </row>
    <row r="188" spans="1:16" ht="11.25" customHeight="1" x14ac:dyDescent="0.2">
      <c r="A188" s="103"/>
      <c r="B188" s="103"/>
      <c r="C188" s="103"/>
      <c r="D188" s="333"/>
      <c r="E188" s="333"/>
      <c r="F188" s="103"/>
      <c r="G188" s="115"/>
      <c r="H188" s="115"/>
      <c r="I188" s="115"/>
      <c r="J188" s="115"/>
      <c r="K188" s="115"/>
      <c r="L188" s="115"/>
      <c r="M188" s="115"/>
      <c r="N188" s="115"/>
      <c r="O188" s="116"/>
      <c r="P188" s="116"/>
    </row>
    <row r="189" spans="1:16" ht="14.45" customHeight="1" x14ac:dyDescent="0.2">
      <c r="A189" s="103"/>
      <c r="B189" s="103"/>
      <c r="C189" s="375" t="s">
        <v>290</v>
      </c>
      <c r="D189" s="375"/>
      <c r="E189" s="375"/>
      <c r="F189" s="375"/>
      <c r="G189" s="375"/>
      <c r="H189" s="375"/>
      <c r="I189" s="375"/>
      <c r="J189" s="375"/>
      <c r="K189" s="375"/>
      <c r="L189" s="375"/>
      <c r="M189" s="375"/>
      <c r="N189" s="375"/>
      <c r="O189" s="375"/>
      <c r="P189" s="375"/>
    </row>
    <row r="190" spans="1:16" ht="15" x14ac:dyDescent="0.2">
      <c r="A190" s="103"/>
      <c r="B190" s="103"/>
      <c r="C190" s="375" t="s">
        <v>291</v>
      </c>
      <c r="D190" s="375"/>
      <c r="E190" s="375"/>
      <c r="F190" s="375"/>
      <c r="G190" s="375"/>
      <c r="H190" s="375"/>
      <c r="I190" s="375"/>
      <c r="J190" s="375"/>
      <c r="K190" s="375"/>
      <c r="L190" s="375"/>
      <c r="M190" s="375"/>
      <c r="N190" s="375"/>
      <c r="O190" s="375"/>
      <c r="P190" s="375"/>
    </row>
    <row r="191" spans="1:16" ht="11.25" customHeight="1" x14ac:dyDescent="0.2">
      <c r="A191" s="103"/>
      <c r="B191" s="103"/>
      <c r="C191" s="103"/>
      <c r="D191" s="334"/>
      <c r="E191" s="334"/>
      <c r="F191" s="203"/>
      <c r="G191" s="203"/>
      <c r="H191" s="204"/>
      <c r="I191" s="203"/>
      <c r="J191" s="203"/>
      <c r="K191" s="203"/>
      <c r="L191" s="203"/>
      <c r="M191" s="203"/>
      <c r="N191" s="203"/>
      <c r="O191" s="116"/>
      <c r="P191" s="116"/>
    </row>
    <row r="192" spans="1:16" s="5" customFormat="1" ht="15" x14ac:dyDescent="0.25">
      <c r="A192" s="117"/>
      <c r="B192" s="62"/>
      <c r="C192" s="205"/>
      <c r="D192" s="335"/>
      <c r="E192" s="335" t="s">
        <v>75</v>
      </c>
      <c r="F192" s="118" t="s">
        <v>76</v>
      </c>
      <c r="G192" s="206"/>
      <c r="H192" s="84"/>
      <c r="I192" s="118"/>
      <c r="J192" s="117"/>
      <c r="K192" s="118"/>
      <c r="L192" s="118"/>
      <c r="M192" s="118"/>
      <c r="N192" s="118"/>
      <c r="O192" s="118"/>
      <c r="P192" s="118"/>
    </row>
    <row r="193" spans="1:16" s="5" customFormat="1" ht="15" x14ac:dyDescent="0.25">
      <c r="A193" s="117"/>
      <c r="B193" s="62"/>
      <c r="C193" s="205"/>
      <c r="D193" s="335"/>
      <c r="E193" s="335" t="s">
        <v>232</v>
      </c>
      <c r="F193" s="118" t="s">
        <v>308</v>
      </c>
      <c r="G193" s="206"/>
      <c r="H193" s="84"/>
      <c r="I193" s="118"/>
      <c r="J193" s="117"/>
      <c r="K193" s="118"/>
      <c r="L193" s="118"/>
      <c r="M193" s="118"/>
      <c r="N193" s="118"/>
      <c r="O193" s="118"/>
      <c r="P193" s="118"/>
    </row>
    <row r="194" spans="1:16" ht="14.25" x14ac:dyDescent="0.2">
      <c r="B194" s="35"/>
      <c r="E194" s="336"/>
      <c r="F194" s="36"/>
      <c r="G194" s="37"/>
      <c r="I194" s="36"/>
      <c r="K194" s="36"/>
      <c r="L194" s="36"/>
      <c r="M194" s="36"/>
      <c r="N194" s="36"/>
    </row>
    <row r="196" spans="1:16" x14ac:dyDescent="0.2">
      <c r="E196" s="441" t="s">
        <v>522</v>
      </c>
      <c r="H196" s="23" t="s">
        <v>523</v>
      </c>
    </row>
    <row r="470" spans="1:17" x14ac:dyDescent="0.2">
      <c r="A470" s="26"/>
      <c r="B470" s="26"/>
      <c r="C470" s="26"/>
      <c r="E470" s="336"/>
      <c r="F470" s="26"/>
      <c r="G470" s="26"/>
      <c r="H470" s="26"/>
      <c r="I470" s="26"/>
      <c r="K470" s="26"/>
      <c r="L470" s="26"/>
      <c r="M470" s="26"/>
      <c r="N470" s="26"/>
      <c r="O470" s="26"/>
      <c r="P470" s="26"/>
      <c r="Q470" s="26">
        <v>447</v>
      </c>
    </row>
  </sheetData>
  <sheetProtection selectLockedCells="1" selectUnlockedCells="1"/>
  <mergeCells count="143">
    <mergeCell ref="D185:E185"/>
    <mergeCell ref="C189:P189"/>
    <mergeCell ref="C190:P190"/>
    <mergeCell ref="H2:L5"/>
    <mergeCell ref="Q89:V89"/>
    <mergeCell ref="A1:F1"/>
    <mergeCell ref="A2:E2"/>
    <mergeCell ref="A5:E5"/>
    <mergeCell ref="K6:O6"/>
    <mergeCell ref="A7:O7"/>
    <mergeCell ref="A9:C11"/>
    <mergeCell ref="D9:E11"/>
    <mergeCell ref="F9:F11"/>
    <mergeCell ref="G9:G11"/>
    <mergeCell ref="H9:J9"/>
    <mergeCell ref="K9:N9"/>
    <mergeCell ref="H10:I10"/>
    <mergeCell ref="J10:J11"/>
    <mergeCell ref="K10:N10"/>
    <mergeCell ref="O10:O11"/>
    <mergeCell ref="P10:P11"/>
    <mergeCell ref="B12:C12"/>
    <mergeCell ref="D12:E12"/>
    <mergeCell ref="D13:E13"/>
    <mergeCell ref="A14:A39"/>
    <mergeCell ref="D14:E14"/>
    <mergeCell ref="B15:B25"/>
    <mergeCell ref="D15:E15"/>
    <mergeCell ref="D20:E20"/>
    <mergeCell ref="D21:E21"/>
    <mergeCell ref="C22:C23"/>
    <mergeCell ref="D24:E24"/>
    <mergeCell ref="D25:E25"/>
    <mergeCell ref="D26:E26"/>
    <mergeCell ref="D34:E34"/>
    <mergeCell ref="B35:B39"/>
    <mergeCell ref="D35:E35"/>
    <mergeCell ref="D36:E36"/>
    <mergeCell ref="D37:E37"/>
    <mergeCell ref="D38:E38"/>
    <mergeCell ref="D39:E39"/>
    <mergeCell ref="B40:E40"/>
    <mergeCell ref="A41:A149"/>
    <mergeCell ref="C41:E41"/>
    <mergeCell ref="B42:B133"/>
    <mergeCell ref="C42:E42"/>
    <mergeCell ref="D43:E43"/>
    <mergeCell ref="D44:E44"/>
    <mergeCell ref="D45:E45"/>
    <mergeCell ref="D48:E48"/>
    <mergeCell ref="D49:E49"/>
    <mergeCell ref="D50:E50"/>
    <mergeCell ref="D51:E51"/>
    <mergeCell ref="D52:E52"/>
    <mergeCell ref="D53:E53"/>
    <mergeCell ref="D56:E56"/>
    <mergeCell ref="D57:E57"/>
    <mergeCell ref="D58:E58"/>
    <mergeCell ref="D59:E59"/>
    <mergeCell ref="D61:E61"/>
    <mergeCell ref="D68:E68"/>
    <mergeCell ref="D73:E73"/>
    <mergeCell ref="D74:E74"/>
    <mergeCell ref="D75:E75"/>
    <mergeCell ref="D76:E76"/>
    <mergeCell ref="D96:E96"/>
    <mergeCell ref="C97:E97"/>
    <mergeCell ref="D98:E98"/>
    <mergeCell ref="D99:E99"/>
    <mergeCell ref="C100:C102"/>
    <mergeCell ref="D100:E100"/>
    <mergeCell ref="D101:E101"/>
    <mergeCell ref="D102:E102"/>
    <mergeCell ref="D77:E77"/>
    <mergeCell ref="D78:E78"/>
    <mergeCell ref="D79:E79"/>
    <mergeCell ref="D80:E80"/>
    <mergeCell ref="D89:E89"/>
    <mergeCell ref="C90:E90"/>
    <mergeCell ref="D91:E91"/>
    <mergeCell ref="D92:E92"/>
    <mergeCell ref="D93:E93"/>
    <mergeCell ref="C116:C122"/>
    <mergeCell ref="D116:E116"/>
    <mergeCell ref="D119:E119"/>
    <mergeCell ref="D122:E122"/>
    <mergeCell ref="D123:E123"/>
    <mergeCell ref="D124:E124"/>
    <mergeCell ref="C125:E125"/>
    <mergeCell ref="D103:E103"/>
    <mergeCell ref="D104:E104"/>
    <mergeCell ref="D107:E107"/>
    <mergeCell ref="D108:E108"/>
    <mergeCell ref="D109:E109"/>
    <mergeCell ref="D110:E110"/>
    <mergeCell ref="D111:E111"/>
    <mergeCell ref="D112:E112"/>
    <mergeCell ref="D113:E113"/>
    <mergeCell ref="A164:A176"/>
    <mergeCell ref="D164:E164"/>
    <mergeCell ref="D165:E165"/>
    <mergeCell ref="D166:E166"/>
    <mergeCell ref="D167:E167"/>
    <mergeCell ref="D169:E169"/>
    <mergeCell ref="D168:E168"/>
    <mergeCell ref="R162:S162"/>
    <mergeCell ref="B143:B149"/>
    <mergeCell ref="D143:E143"/>
    <mergeCell ref="D146:E146"/>
    <mergeCell ref="D149:E149"/>
    <mergeCell ref="D150:E150"/>
    <mergeCell ref="D159:E159"/>
    <mergeCell ref="D158:E158"/>
    <mergeCell ref="D153:E153"/>
    <mergeCell ref="D154:E154"/>
    <mergeCell ref="D155:E155"/>
    <mergeCell ref="D156:E156"/>
    <mergeCell ref="D157:E157"/>
    <mergeCell ref="G154:P154"/>
    <mergeCell ref="R14:S15"/>
    <mergeCell ref="D184:E184"/>
    <mergeCell ref="D162:E162"/>
    <mergeCell ref="D161:E161"/>
    <mergeCell ref="D170:E170"/>
    <mergeCell ref="D171:E171"/>
    <mergeCell ref="D172:E172"/>
    <mergeCell ref="D177:E177"/>
    <mergeCell ref="D178:E178"/>
    <mergeCell ref="D160:E160"/>
    <mergeCell ref="D163:E163"/>
    <mergeCell ref="D126:E126"/>
    <mergeCell ref="D127:E127"/>
    <mergeCell ref="D128:E128"/>
    <mergeCell ref="D129:E129"/>
    <mergeCell ref="D130:E130"/>
    <mergeCell ref="D131:E131"/>
    <mergeCell ref="D132:E132"/>
    <mergeCell ref="D133:E133"/>
    <mergeCell ref="D142:E142"/>
    <mergeCell ref="D114:E114"/>
    <mergeCell ref="D115:E115"/>
    <mergeCell ref="D94:E94"/>
    <mergeCell ref="D95:E95"/>
  </mergeCells>
  <pageMargins left="0.78749999999999998" right="0.118055555555556" top="0.7" bottom="0.47291666666666698" header="0.5" footer="0.15763888888888899"/>
  <pageSetup paperSize="9" scale="88" firstPageNumber="0" fitToHeight="0" orientation="landscape" cellComments="asDisplayed" r:id="rId1"/>
  <headerFooter alignWithMargins="0">
    <oddFooter>&amp;CPagina &amp;P din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1"/>
  </sheetPr>
  <dimension ref="A1:H25"/>
  <sheetViews>
    <sheetView workbookViewId="0">
      <selection activeCell="C25" sqref="C25"/>
    </sheetView>
  </sheetViews>
  <sheetFormatPr defaultRowHeight="12.75" x14ac:dyDescent="0.2"/>
  <cols>
    <col min="1" max="1" width="6.42578125" style="38" customWidth="1"/>
    <col min="2" max="2" width="35.7109375" bestFit="1" customWidth="1"/>
    <col min="3" max="3" width="15.42578125" customWidth="1"/>
    <col min="4" max="4" width="13.7109375" customWidth="1"/>
    <col min="5" max="5" width="8.85546875" style="39" customWidth="1"/>
    <col min="6" max="6" width="15.5703125" customWidth="1"/>
    <col min="7" max="7" width="16.140625" customWidth="1"/>
    <col min="8" max="8" width="10.28515625" style="39" customWidth="1"/>
  </cols>
  <sheetData>
    <row r="1" spans="1:8" x14ac:dyDescent="0.2">
      <c r="A1" s="378"/>
      <c r="B1" s="378"/>
      <c r="C1" s="378"/>
      <c r="D1" s="378"/>
      <c r="E1" s="378"/>
      <c r="F1" s="378"/>
    </row>
    <row r="2" spans="1:8" ht="12.75" customHeight="1" x14ac:dyDescent="0.25">
      <c r="A2" s="128"/>
      <c r="B2" s="128"/>
      <c r="C2" s="340" t="s">
        <v>387</v>
      </c>
      <c r="D2" s="340"/>
      <c r="E2" s="340"/>
      <c r="F2" s="340"/>
      <c r="G2" s="129"/>
      <c r="H2" s="130"/>
    </row>
    <row r="3" spans="1:8" ht="15" x14ac:dyDescent="0.25">
      <c r="A3" s="128"/>
      <c r="B3" s="128"/>
      <c r="C3" s="340"/>
      <c r="D3" s="340"/>
      <c r="E3" s="340"/>
      <c r="F3" s="340"/>
      <c r="G3" s="131" t="s">
        <v>526</v>
      </c>
      <c r="H3" s="130"/>
    </row>
    <row r="4" spans="1:8" ht="15" x14ac:dyDescent="0.25">
      <c r="A4" s="128"/>
      <c r="B4" s="128"/>
      <c r="C4" s="340"/>
      <c r="D4" s="340"/>
      <c r="E4" s="340"/>
      <c r="F4" s="340"/>
      <c r="G4" s="129"/>
      <c r="H4" s="130"/>
    </row>
    <row r="5" spans="1:8" ht="15" x14ac:dyDescent="0.25">
      <c r="A5" s="83"/>
      <c r="B5" s="83"/>
      <c r="C5" s="340"/>
      <c r="D5" s="340"/>
      <c r="E5" s="340"/>
      <c r="F5" s="340"/>
      <c r="G5" s="129"/>
      <c r="H5" s="130"/>
    </row>
    <row r="6" spans="1:8" ht="15" x14ac:dyDescent="0.25">
      <c r="A6" s="83"/>
      <c r="B6" s="83"/>
      <c r="C6" s="83"/>
      <c r="D6" s="114"/>
      <c r="E6" s="114"/>
      <c r="F6" s="114"/>
      <c r="G6" s="114"/>
      <c r="H6" s="130"/>
    </row>
    <row r="7" spans="1:8" ht="15" x14ac:dyDescent="0.25">
      <c r="A7" s="83"/>
      <c r="B7" s="83"/>
      <c r="C7" s="83"/>
      <c r="D7" s="114"/>
      <c r="E7" s="114"/>
      <c r="F7" s="114"/>
      <c r="G7" s="114"/>
      <c r="H7" s="130"/>
    </row>
    <row r="8" spans="1:8" ht="15" x14ac:dyDescent="0.25">
      <c r="A8" s="391"/>
      <c r="B8" s="391"/>
      <c r="C8" s="391"/>
      <c r="D8" s="391"/>
      <c r="E8" s="391"/>
      <c r="F8" s="132"/>
      <c r="G8" s="133"/>
      <c r="H8" s="130"/>
    </row>
    <row r="9" spans="1:8" ht="18.75" x14ac:dyDescent="0.3">
      <c r="A9" s="134"/>
      <c r="B9" s="392" t="s">
        <v>233</v>
      </c>
      <c r="C9" s="392"/>
      <c r="D9" s="392"/>
      <c r="E9" s="392"/>
      <c r="F9" s="392"/>
      <c r="G9" s="392"/>
      <c r="H9" s="392"/>
    </row>
    <row r="10" spans="1:8" ht="15" x14ac:dyDescent="0.25">
      <c r="A10" s="134"/>
      <c r="B10" s="133"/>
      <c r="C10" s="133"/>
      <c r="D10" s="133"/>
      <c r="E10" s="130"/>
      <c r="F10" s="133"/>
      <c r="G10" s="133"/>
      <c r="H10" s="130"/>
    </row>
    <row r="11" spans="1:8" ht="15" x14ac:dyDescent="0.25">
      <c r="A11" s="134"/>
      <c r="B11" s="133"/>
      <c r="C11" s="390"/>
      <c r="D11" s="390"/>
      <c r="E11" s="130"/>
      <c r="F11" s="390"/>
      <c r="G11" s="390"/>
      <c r="H11" s="135" t="s">
        <v>0</v>
      </c>
    </row>
    <row r="12" spans="1:8" ht="13.15" customHeight="1" x14ac:dyDescent="0.2">
      <c r="A12" s="393" t="s">
        <v>293</v>
      </c>
      <c r="B12" s="388" t="s">
        <v>234</v>
      </c>
      <c r="C12" s="388" t="s">
        <v>448</v>
      </c>
      <c r="D12" s="388"/>
      <c r="E12" s="389" t="s">
        <v>235</v>
      </c>
      <c r="F12" s="388" t="s">
        <v>449</v>
      </c>
      <c r="G12" s="388"/>
      <c r="H12" s="389" t="s">
        <v>236</v>
      </c>
    </row>
    <row r="13" spans="1:8" ht="15" x14ac:dyDescent="0.2">
      <c r="A13" s="394"/>
      <c r="B13" s="388"/>
      <c r="C13" s="120" t="s">
        <v>237</v>
      </c>
      <c r="D13" s="120" t="s">
        <v>238</v>
      </c>
      <c r="E13" s="389"/>
      <c r="F13" s="120" t="s">
        <v>237</v>
      </c>
      <c r="G13" s="120" t="s">
        <v>246</v>
      </c>
      <c r="H13" s="389"/>
    </row>
    <row r="14" spans="1:8" s="20" customFormat="1" ht="15" x14ac:dyDescent="0.25">
      <c r="A14" s="121">
        <v>0</v>
      </c>
      <c r="B14" s="122">
        <v>1</v>
      </c>
      <c r="C14" s="121">
        <v>2</v>
      </c>
      <c r="D14" s="121">
        <v>3</v>
      </c>
      <c r="E14" s="123">
        <v>4</v>
      </c>
      <c r="F14" s="121">
        <v>5</v>
      </c>
      <c r="G14" s="121">
        <v>6</v>
      </c>
      <c r="H14" s="123">
        <v>7</v>
      </c>
    </row>
    <row r="15" spans="1:8" s="20" customFormat="1" ht="15" x14ac:dyDescent="0.2">
      <c r="A15" s="121" t="s">
        <v>91</v>
      </c>
      <c r="B15" s="124" t="s">
        <v>372</v>
      </c>
      <c r="C15" s="213">
        <v>70320</v>
      </c>
      <c r="D15" s="213">
        <v>75181.146989999994</v>
      </c>
      <c r="E15" s="214">
        <f>D15/C15*100</f>
        <v>106.9128938993174</v>
      </c>
      <c r="F15" s="195">
        <v>84050</v>
      </c>
      <c r="G15" s="195">
        <f>'BVC 2023 analitic (A2)'!J13</f>
        <v>86852.777279999995</v>
      </c>
      <c r="H15" s="214">
        <f>G15/F15*100</f>
        <v>103.33465470553243</v>
      </c>
    </row>
    <row r="16" spans="1:8" ht="16.5" customHeight="1" x14ac:dyDescent="0.2">
      <c r="A16" s="121" t="s">
        <v>239</v>
      </c>
      <c r="B16" s="125" t="s">
        <v>240</v>
      </c>
      <c r="C16" s="213">
        <v>70070</v>
      </c>
      <c r="D16" s="213">
        <v>74641.532169999991</v>
      </c>
      <c r="E16" s="214">
        <f>D16/C16*100</f>
        <v>106.52423600685029</v>
      </c>
      <c r="F16" s="195">
        <v>83700</v>
      </c>
      <c r="G16" s="195">
        <f>'BVC 2023 analitic (A2)'!J14</f>
        <v>84748.488540000006</v>
      </c>
      <c r="H16" s="214">
        <f>G16/F16*100</f>
        <v>101.25267448028674</v>
      </c>
    </row>
    <row r="17" spans="1:8" ht="15.75" customHeight="1" x14ac:dyDescent="0.2">
      <c r="A17" s="126" t="s">
        <v>241</v>
      </c>
      <c r="B17" s="127" t="s">
        <v>14</v>
      </c>
      <c r="C17" s="213">
        <v>250</v>
      </c>
      <c r="D17" s="213">
        <v>539.61482000000001</v>
      </c>
      <c r="E17" s="214">
        <f>D17/C17*100</f>
        <v>215.84592800000001</v>
      </c>
      <c r="F17" s="195">
        <v>350</v>
      </c>
      <c r="G17" s="195">
        <f>'BVC 2023 analitic (A2)'!J34</f>
        <v>2104.2887400000004</v>
      </c>
      <c r="H17" s="214">
        <f>G17/F17*100</f>
        <v>601.22535428571439</v>
      </c>
    </row>
    <row r="18" spans="1:8" ht="15" x14ac:dyDescent="0.25">
      <c r="A18" s="134"/>
      <c r="B18" s="133"/>
      <c r="C18" s="133"/>
      <c r="D18" s="133"/>
      <c r="E18" s="130"/>
      <c r="F18" s="133"/>
      <c r="G18" s="133"/>
      <c r="H18" s="130"/>
    </row>
    <row r="19" spans="1:8" ht="15" x14ac:dyDescent="0.25">
      <c r="A19" s="134"/>
      <c r="B19" s="397" t="s">
        <v>373</v>
      </c>
      <c r="C19" s="397"/>
      <c r="D19" s="397"/>
      <c r="E19" s="397"/>
      <c r="F19" s="397"/>
      <c r="G19" s="397"/>
      <c r="H19" s="130"/>
    </row>
    <row r="20" spans="1:8" ht="15" x14ac:dyDescent="0.25">
      <c r="A20" s="134"/>
      <c r="B20" s="133"/>
      <c r="C20" s="133"/>
      <c r="D20" s="133"/>
      <c r="E20" s="130"/>
      <c r="F20" s="133"/>
      <c r="G20" s="133"/>
      <c r="H20" s="130"/>
    </row>
    <row r="21" spans="1:8" s="5" customFormat="1" ht="15.75" customHeight="1" x14ac:dyDescent="0.25">
      <c r="A21" s="395" t="s">
        <v>75</v>
      </c>
      <c r="B21" s="395"/>
      <c r="C21" s="396" t="s">
        <v>76</v>
      </c>
      <c r="D21" s="396"/>
      <c r="E21" s="136"/>
      <c r="F21" s="136"/>
      <c r="G21" s="117"/>
      <c r="H21" s="117"/>
    </row>
    <row r="22" spans="1:8" s="5" customFormat="1" ht="13.9" customHeight="1" x14ac:dyDescent="0.25">
      <c r="A22" s="395" t="s">
        <v>242</v>
      </c>
      <c r="B22" s="395"/>
      <c r="C22" s="398" t="s">
        <v>412</v>
      </c>
      <c r="D22" s="398"/>
      <c r="E22" s="132"/>
      <c r="F22" s="132"/>
      <c r="G22" s="117"/>
      <c r="H22" s="117"/>
    </row>
    <row r="25" spans="1:8" x14ac:dyDescent="0.2">
      <c r="B25" t="s">
        <v>522</v>
      </c>
      <c r="C25" t="s">
        <v>523</v>
      </c>
    </row>
  </sheetData>
  <sheetProtection selectLockedCells="1" selectUnlockedCells="1"/>
  <mergeCells count="17">
    <mergeCell ref="A21:B21"/>
    <mergeCell ref="C21:D21"/>
    <mergeCell ref="B19:G19"/>
    <mergeCell ref="A22:B22"/>
    <mergeCell ref="C22:D22"/>
    <mergeCell ref="F12:G12"/>
    <mergeCell ref="H12:H13"/>
    <mergeCell ref="C2:F5"/>
    <mergeCell ref="F11:G11"/>
    <mergeCell ref="A1:F1"/>
    <mergeCell ref="A8:E8"/>
    <mergeCell ref="B9:H9"/>
    <mergeCell ref="A12:A13"/>
    <mergeCell ref="C11:D11"/>
    <mergeCell ref="B12:B13"/>
    <mergeCell ref="C12:D12"/>
    <mergeCell ref="E12:E13"/>
  </mergeCells>
  <pageMargins left="1.1417322834645669" right="0.74803149606299213" top="0.98425196850393704" bottom="0.98425196850393704" header="0.51181102362204722" footer="0.51181102362204722"/>
  <pageSetup paperSize="9" firstPageNumber="0" orientation="landscape" r:id="rId1"/>
  <headerFooter alignWithMargins="0">
    <oddFooter>&amp;C&amp;8Pagina &amp;P din &amp;N</oddFooter>
  </headerFooter>
  <ignoredErrors>
    <ignoredError sqref="A16:A1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0"/>
    <pageSetUpPr fitToPage="1"/>
  </sheetPr>
  <dimension ref="A1:M72"/>
  <sheetViews>
    <sheetView zoomScaleNormal="100" workbookViewId="0">
      <selection activeCell="H5" sqref="H5"/>
    </sheetView>
  </sheetViews>
  <sheetFormatPr defaultRowHeight="14.25" x14ac:dyDescent="0.2"/>
  <cols>
    <col min="1" max="1" width="4.140625" style="40" customWidth="1"/>
    <col min="2" max="2" width="3.7109375" style="41" customWidth="1"/>
    <col min="3" max="3" width="74.42578125" style="42" customWidth="1"/>
    <col min="4" max="4" width="12.5703125" style="43" customWidth="1"/>
    <col min="5" max="5" width="10" style="40" customWidth="1"/>
    <col min="6" max="6" width="11" style="40" customWidth="1"/>
    <col min="7" max="7" width="9.28515625" style="40" bestFit="1" customWidth="1"/>
    <col min="8" max="8" width="10.85546875" style="40" bestFit="1" customWidth="1"/>
    <col min="9" max="9" width="7.5703125" style="40" bestFit="1" customWidth="1"/>
    <col min="10" max="16384" width="9.140625" style="40"/>
  </cols>
  <sheetData>
    <row r="1" spans="1:13" ht="14.25" customHeight="1" x14ac:dyDescent="0.25">
      <c r="A1" s="156"/>
      <c r="B1" s="156"/>
      <c r="C1" s="156"/>
      <c r="D1" s="340" t="s">
        <v>388</v>
      </c>
      <c r="E1" s="340"/>
      <c r="F1" s="340"/>
      <c r="G1" s="129"/>
      <c r="H1" s="129"/>
      <c r="I1" s="137"/>
    </row>
    <row r="2" spans="1:13" ht="15" x14ac:dyDescent="0.25">
      <c r="A2" s="157"/>
      <c r="B2" s="157"/>
      <c r="C2" s="157"/>
      <c r="D2" s="340"/>
      <c r="E2" s="340"/>
      <c r="F2" s="340"/>
      <c r="G2" s="129"/>
      <c r="H2" s="129"/>
      <c r="I2" s="137"/>
    </row>
    <row r="3" spans="1:13" ht="15" x14ac:dyDescent="0.25">
      <c r="A3" s="157"/>
      <c r="B3" s="157"/>
      <c r="C3" s="157"/>
      <c r="D3" s="340"/>
      <c r="E3" s="340"/>
      <c r="F3" s="340"/>
      <c r="G3" s="129"/>
      <c r="H3" s="129"/>
      <c r="I3" s="137"/>
    </row>
    <row r="4" spans="1:13" ht="15" x14ac:dyDescent="0.25">
      <c r="A4" s="156"/>
      <c r="B4" s="156"/>
      <c r="C4" s="156"/>
      <c r="D4" s="340"/>
      <c r="E4" s="340"/>
      <c r="F4" s="340"/>
      <c r="G4" s="129"/>
      <c r="H4" s="129"/>
      <c r="I4" s="137"/>
    </row>
    <row r="5" spans="1:13" ht="15" x14ac:dyDescent="0.25">
      <c r="A5" s="401"/>
      <c r="B5" s="401"/>
      <c r="C5" s="401"/>
      <c r="D5" s="401"/>
      <c r="E5" s="401"/>
      <c r="F5" s="158"/>
      <c r="G5" s="137"/>
      <c r="H5" s="138" t="s">
        <v>525</v>
      </c>
      <c r="I5" s="137"/>
    </row>
    <row r="6" spans="1:13" ht="11.25" customHeight="1" x14ac:dyDescent="0.25">
      <c r="A6" s="157"/>
      <c r="B6" s="159"/>
      <c r="C6" s="157"/>
      <c r="D6" s="157"/>
      <c r="E6" s="157"/>
      <c r="F6" s="158"/>
      <c r="G6" s="137"/>
      <c r="H6" s="138"/>
      <c r="I6" s="137"/>
    </row>
    <row r="7" spans="1:13" ht="18.75" x14ac:dyDescent="0.25">
      <c r="A7" s="402" t="s">
        <v>243</v>
      </c>
      <c r="B7" s="402"/>
      <c r="C7" s="402"/>
      <c r="D7" s="402"/>
      <c r="E7" s="402"/>
      <c r="F7" s="402"/>
      <c r="G7" s="402"/>
      <c r="H7" s="402"/>
      <c r="I7" s="137"/>
    </row>
    <row r="8" spans="1:13" ht="9.75" customHeight="1" x14ac:dyDescent="0.25">
      <c r="A8" s="137"/>
      <c r="B8" s="139"/>
      <c r="C8" s="140"/>
      <c r="D8" s="141"/>
      <c r="E8" s="137"/>
      <c r="F8" s="137"/>
      <c r="G8" s="137"/>
      <c r="H8" s="137"/>
      <c r="I8" s="137"/>
    </row>
    <row r="9" spans="1:13" ht="14.25" customHeight="1" thickBot="1" x14ac:dyDescent="0.3">
      <c r="A9" s="137"/>
      <c r="B9" s="139"/>
      <c r="C9" s="140"/>
      <c r="D9" s="141"/>
      <c r="E9" s="137"/>
      <c r="F9" s="137"/>
      <c r="G9" s="137"/>
      <c r="H9" s="137"/>
      <c r="I9" s="142" t="s">
        <v>0</v>
      </c>
    </row>
    <row r="10" spans="1:13" ht="27" customHeight="1" thickBot="1" x14ac:dyDescent="0.25">
      <c r="A10" s="403"/>
      <c r="B10" s="404"/>
      <c r="C10" s="405" t="s">
        <v>1</v>
      </c>
      <c r="D10" s="406" t="s">
        <v>244</v>
      </c>
      <c r="E10" s="407" t="s">
        <v>450</v>
      </c>
      <c r="F10" s="407"/>
      <c r="G10" s="408" t="s">
        <v>245</v>
      </c>
      <c r="H10" s="408"/>
      <c r="I10" s="408"/>
    </row>
    <row r="11" spans="1:13" ht="30.75" thickBot="1" x14ac:dyDescent="0.25">
      <c r="A11" s="403"/>
      <c r="B11" s="404"/>
      <c r="C11" s="405"/>
      <c r="D11" s="406"/>
      <c r="E11" s="276" t="s">
        <v>237</v>
      </c>
      <c r="F11" s="276" t="s">
        <v>246</v>
      </c>
      <c r="G11" s="276" t="s">
        <v>451</v>
      </c>
      <c r="H11" s="276" t="s">
        <v>452</v>
      </c>
      <c r="I11" s="277" t="s">
        <v>453</v>
      </c>
    </row>
    <row r="12" spans="1:13" ht="15.75" thickBot="1" x14ac:dyDescent="0.25">
      <c r="A12" s="143">
        <v>0</v>
      </c>
      <c r="B12" s="144">
        <v>1</v>
      </c>
      <c r="C12" s="274">
        <v>2</v>
      </c>
      <c r="D12" s="275">
        <v>3</v>
      </c>
      <c r="E12" s="275">
        <v>4</v>
      </c>
      <c r="F12" s="275">
        <v>5</v>
      </c>
      <c r="G12" s="278">
        <v>6</v>
      </c>
      <c r="H12" s="278">
        <v>7</v>
      </c>
      <c r="I12" s="279">
        <v>8</v>
      </c>
    </row>
    <row r="13" spans="1:13" ht="15" x14ac:dyDescent="0.25">
      <c r="A13" s="145" t="s">
        <v>8</v>
      </c>
      <c r="B13" s="146"/>
      <c r="C13" s="147" t="s">
        <v>62</v>
      </c>
      <c r="D13" s="280"/>
      <c r="E13" s="281">
        <v>367484.06221</v>
      </c>
      <c r="F13" s="281">
        <f>F14+F18+F19+F22</f>
        <v>240032.35634</v>
      </c>
      <c r="G13" s="281">
        <f>G14+G18+G19+G22</f>
        <v>858863.05599999998</v>
      </c>
      <c r="H13" s="281">
        <f>H14+H18+H19+H22</f>
        <v>74544</v>
      </c>
      <c r="I13" s="282">
        <f>I14+I18+I19+I22</f>
        <v>71393</v>
      </c>
      <c r="J13" s="308"/>
      <c r="K13" s="308"/>
      <c r="L13" s="308"/>
      <c r="M13" s="308"/>
    </row>
    <row r="14" spans="1:13" ht="15" x14ac:dyDescent="0.25">
      <c r="A14" s="148"/>
      <c r="B14" s="149">
        <v>1</v>
      </c>
      <c r="C14" s="283" t="s">
        <v>247</v>
      </c>
      <c r="D14" s="284"/>
      <c r="E14" s="273">
        <v>31186.06221</v>
      </c>
      <c r="F14" s="273">
        <f>SUM(F15:F17)</f>
        <v>39087</v>
      </c>
      <c r="G14" s="273">
        <f>SUM(G15:G17)</f>
        <v>37437</v>
      </c>
      <c r="H14" s="273">
        <f>SUM(H15:H17)</f>
        <v>35537</v>
      </c>
      <c r="I14" s="285">
        <f>SUM(I15:I17)</f>
        <v>35637</v>
      </c>
      <c r="J14" s="399"/>
      <c r="K14" s="400"/>
      <c r="L14" s="400"/>
      <c r="M14" s="400"/>
    </row>
    <row r="15" spans="1:13" ht="15" x14ac:dyDescent="0.2">
      <c r="A15" s="148"/>
      <c r="B15" s="149"/>
      <c r="C15" s="286" t="s">
        <v>248</v>
      </c>
      <c r="D15" s="287"/>
      <c r="E15" s="273">
        <v>2300</v>
      </c>
      <c r="F15" s="273">
        <v>2028</v>
      </c>
      <c r="G15" s="273">
        <v>2350</v>
      </c>
      <c r="H15" s="273">
        <v>2100</v>
      </c>
      <c r="I15" s="285">
        <f>H15</f>
        <v>2100</v>
      </c>
    </row>
    <row r="16" spans="1:13" ht="30" x14ac:dyDescent="0.2">
      <c r="A16" s="148"/>
      <c r="B16" s="149"/>
      <c r="C16" s="286" t="s">
        <v>471</v>
      </c>
      <c r="D16" s="287"/>
      <c r="E16" s="273">
        <v>12146</v>
      </c>
      <c r="F16" s="273">
        <v>12146</v>
      </c>
      <c r="G16" s="273">
        <f>F16+F15</f>
        <v>14174</v>
      </c>
      <c r="H16" s="273">
        <f>G16+G15</f>
        <v>16524</v>
      </c>
      <c r="I16" s="288">
        <f>H16+H15</f>
        <v>18624</v>
      </c>
    </row>
    <row r="17" spans="1:9" ht="30" x14ac:dyDescent="0.2">
      <c r="A17" s="148"/>
      <c r="B17" s="149"/>
      <c r="C17" s="286" t="s">
        <v>407</v>
      </c>
      <c r="D17" s="287"/>
      <c r="E17" s="273">
        <v>17040.06221</v>
      </c>
      <c r="F17" s="273">
        <v>24913</v>
      </c>
      <c r="G17" s="273">
        <f>F17-4000</f>
        <v>20913</v>
      </c>
      <c r="H17" s="273">
        <f>G17-4000</f>
        <v>16913</v>
      </c>
      <c r="I17" s="288">
        <f>H17-3000+1000</f>
        <v>14913</v>
      </c>
    </row>
    <row r="18" spans="1:9" s="44" customFormat="1" ht="15" x14ac:dyDescent="0.25">
      <c r="A18" s="148"/>
      <c r="B18" s="149">
        <v>2</v>
      </c>
      <c r="C18" s="283" t="s">
        <v>63</v>
      </c>
      <c r="D18" s="284"/>
      <c r="E18" s="273">
        <v>0</v>
      </c>
      <c r="F18" s="273">
        <v>0</v>
      </c>
      <c r="G18" s="273">
        <v>0</v>
      </c>
      <c r="H18" s="273">
        <v>0</v>
      </c>
      <c r="I18" s="285">
        <v>0</v>
      </c>
    </row>
    <row r="19" spans="1:9" s="44" customFormat="1" ht="15" x14ac:dyDescent="0.25">
      <c r="A19" s="148"/>
      <c r="B19" s="149">
        <v>3</v>
      </c>
      <c r="C19" s="283" t="s">
        <v>249</v>
      </c>
      <c r="D19" s="284"/>
      <c r="E19" s="273">
        <v>0</v>
      </c>
      <c r="F19" s="273">
        <v>0</v>
      </c>
      <c r="G19" s="273">
        <f>G20+G21</f>
        <v>0</v>
      </c>
      <c r="H19" s="273">
        <f>H20+H21</f>
        <v>0</v>
      </c>
      <c r="I19" s="285">
        <f>I20+I21</f>
        <v>0</v>
      </c>
    </row>
    <row r="20" spans="1:9" ht="15" x14ac:dyDescent="0.2">
      <c r="A20" s="148"/>
      <c r="B20" s="149"/>
      <c r="C20" s="286" t="s">
        <v>250</v>
      </c>
      <c r="D20" s="287"/>
      <c r="E20" s="273">
        <v>0</v>
      </c>
      <c r="F20" s="273">
        <v>0</v>
      </c>
      <c r="G20" s="273">
        <v>0</v>
      </c>
      <c r="H20" s="273">
        <v>0</v>
      </c>
      <c r="I20" s="285">
        <v>0</v>
      </c>
    </row>
    <row r="21" spans="1:9" ht="15" x14ac:dyDescent="0.2">
      <c r="A21" s="148"/>
      <c r="B21" s="149"/>
      <c r="C21" s="286" t="s">
        <v>251</v>
      </c>
      <c r="D21" s="287"/>
      <c r="E21" s="273">
        <v>0</v>
      </c>
      <c r="F21" s="273">
        <v>0</v>
      </c>
      <c r="G21" s="273">
        <v>0</v>
      </c>
      <c r="H21" s="273">
        <v>0</v>
      </c>
      <c r="I21" s="285">
        <v>0</v>
      </c>
    </row>
    <row r="22" spans="1:9" ht="15" x14ac:dyDescent="0.2">
      <c r="A22" s="148"/>
      <c r="B22" s="149">
        <v>4</v>
      </c>
      <c r="C22" s="283" t="s">
        <v>252</v>
      </c>
      <c r="D22" s="284"/>
      <c r="E22" s="273">
        <v>336298</v>
      </c>
      <c r="F22" s="273">
        <f>SUM(F23:F25)</f>
        <v>200945.35634</v>
      </c>
      <c r="G22" s="273">
        <f>SUM(G23:G25)</f>
        <v>821426.05599999998</v>
      </c>
      <c r="H22" s="273">
        <f>SUM(H23:H25)</f>
        <v>39007</v>
      </c>
      <c r="I22" s="285">
        <f>SUM(I23:I25)</f>
        <v>35756</v>
      </c>
    </row>
    <row r="23" spans="1:9" ht="9" customHeight="1" x14ac:dyDescent="0.2">
      <c r="A23" s="148"/>
      <c r="B23" s="409"/>
      <c r="C23" s="411" t="s">
        <v>405</v>
      </c>
      <c r="D23" s="413"/>
      <c r="E23" s="415">
        <v>320798</v>
      </c>
      <c r="F23" s="415">
        <f>F31+F32+F46+F33</f>
        <v>171615.82172000001</v>
      </c>
      <c r="G23" s="415">
        <f>G31+G32+G33+G44+G45++G49+G50-591-1250-3485</f>
        <v>775647.95400000003</v>
      </c>
      <c r="H23" s="415">
        <f>H31+H32+H33+H44+H45+H48+H49+H50</f>
        <v>11247</v>
      </c>
      <c r="I23" s="417">
        <f>I31+I32+I33+I44+I45+I48+I49+I50</f>
        <v>7996</v>
      </c>
    </row>
    <row r="24" spans="1:9" ht="9" customHeight="1" x14ac:dyDescent="0.2">
      <c r="A24" s="148"/>
      <c r="B24" s="410"/>
      <c r="C24" s="412"/>
      <c r="D24" s="414"/>
      <c r="E24" s="416"/>
      <c r="F24" s="416"/>
      <c r="G24" s="416"/>
      <c r="H24" s="416"/>
      <c r="I24" s="418"/>
    </row>
    <row r="25" spans="1:9" ht="18" customHeight="1" x14ac:dyDescent="0.2">
      <c r="A25" s="147"/>
      <c r="B25" s="150"/>
      <c r="C25" s="286" t="s">
        <v>406</v>
      </c>
      <c r="D25" s="287"/>
      <c r="E25" s="273">
        <v>15500</v>
      </c>
      <c r="F25" s="273">
        <f>(11029501.84+11142000+1489877+668155.78+5000000)/1000</f>
        <v>29329.534620000002</v>
      </c>
      <c r="G25" s="273">
        <f>(11175510+5792592+930000*3+2180000*9+500000+500000+5400000)/1000</f>
        <v>45778.101999999999</v>
      </c>
      <c r="H25" s="273">
        <f>2180*12+500+100+1000</f>
        <v>27760</v>
      </c>
      <c r="I25" s="273">
        <f>2180*12+500+100+1000</f>
        <v>27760</v>
      </c>
    </row>
    <row r="26" spans="1:9" ht="15" x14ac:dyDescent="0.2">
      <c r="A26" s="151" t="s">
        <v>15</v>
      </c>
      <c r="B26" s="150"/>
      <c r="C26" s="289" t="s">
        <v>253</v>
      </c>
      <c r="D26" s="290"/>
      <c r="E26" s="273">
        <v>350563</v>
      </c>
      <c r="F26" s="273">
        <f>F27+F38+F51+F62+F63</f>
        <v>183246.77085</v>
      </c>
      <c r="G26" s="273">
        <f>G27+G38+G51+G62+G63</f>
        <v>819284.95991500001</v>
      </c>
      <c r="H26" s="273">
        <f t="shared" ref="H26:I26" si="0">H27+H38+H51+H62+H63</f>
        <v>33705.418724999996</v>
      </c>
      <c r="I26" s="273">
        <f t="shared" si="0"/>
        <v>30321.732534999999</v>
      </c>
    </row>
    <row r="27" spans="1:9" ht="15" x14ac:dyDescent="0.2">
      <c r="A27" s="148"/>
      <c r="B27" s="149">
        <v>1</v>
      </c>
      <c r="C27" s="283" t="s">
        <v>254</v>
      </c>
      <c r="D27" s="284"/>
      <c r="E27" s="273">
        <v>326798</v>
      </c>
      <c r="F27" s="273">
        <f>F28+F30+F34+F36</f>
        <v>168447.95363999999</v>
      </c>
      <c r="G27" s="273">
        <f>G28+G30+G34+G36</f>
        <v>749304</v>
      </c>
      <c r="H27" s="273">
        <f>H28+H30+H34+H36</f>
        <v>7068</v>
      </c>
      <c r="I27" s="285">
        <f>I28+I30+I34+I36</f>
        <v>6000</v>
      </c>
    </row>
    <row r="28" spans="1:9" ht="15" x14ac:dyDescent="0.2">
      <c r="A28" s="148"/>
      <c r="B28" s="150"/>
      <c r="C28" s="286" t="s">
        <v>255</v>
      </c>
      <c r="D28" s="284"/>
      <c r="E28" s="273"/>
      <c r="F28" s="273"/>
      <c r="G28" s="273"/>
      <c r="H28" s="273"/>
      <c r="I28" s="285"/>
    </row>
    <row r="29" spans="1:9" ht="15" x14ac:dyDescent="0.2">
      <c r="A29" s="148"/>
      <c r="B29" s="150"/>
      <c r="C29" s="286" t="s">
        <v>256</v>
      </c>
      <c r="D29" s="284"/>
      <c r="E29" s="273"/>
      <c r="F29" s="273"/>
      <c r="G29" s="273"/>
      <c r="H29" s="273"/>
      <c r="I29" s="285"/>
    </row>
    <row r="30" spans="1:9" ht="30" x14ac:dyDescent="0.2">
      <c r="A30" s="148"/>
      <c r="B30" s="150"/>
      <c r="C30" s="286" t="s">
        <v>257</v>
      </c>
      <c r="D30" s="284"/>
      <c r="E30" s="273">
        <v>320798</v>
      </c>
      <c r="F30" s="273">
        <f>F31+F32+F33</f>
        <v>165113</v>
      </c>
      <c r="G30" s="273">
        <f>G31+G32+G33</f>
        <v>743304</v>
      </c>
      <c r="H30" s="273">
        <f>H31+H32+H33</f>
        <v>1068</v>
      </c>
      <c r="I30" s="288">
        <f>I31+I32+I33</f>
        <v>0</v>
      </c>
    </row>
    <row r="31" spans="1:9" ht="30" x14ac:dyDescent="0.2">
      <c r="A31" s="148"/>
      <c r="B31" s="150"/>
      <c r="C31" s="286" t="s">
        <v>303</v>
      </c>
      <c r="D31" s="291">
        <v>45291</v>
      </c>
      <c r="E31" s="273">
        <v>3748</v>
      </c>
      <c r="F31" s="273">
        <v>2682</v>
      </c>
      <c r="G31" s="273">
        <v>461</v>
      </c>
      <c r="H31" s="273">
        <v>0</v>
      </c>
      <c r="I31" s="285">
        <v>0</v>
      </c>
    </row>
    <row r="32" spans="1:9" ht="45.75" customHeight="1" x14ac:dyDescent="0.2">
      <c r="A32" s="148"/>
      <c r="B32" s="150"/>
      <c r="C32" s="286" t="s">
        <v>311</v>
      </c>
      <c r="D32" s="292" t="s">
        <v>304</v>
      </c>
      <c r="E32" s="273">
        <v>0</v>
      </c>
      <c r="F32" s="273">
        <v>0</v>
      </c>
      <c r="G32" s="273">
        <v>1068</v>
      </c>
      <c r="H32" s="273">
        <v>1068</v>
      </c>
      <c r="I32" s="285">
        <v>0</v>
      </c>
    </row>
    <row r="33" spans="1:10" ht="30" x14ac:dyDescent="0.2">
      <c r="A33" s="148"/>
      <c r="B33" s="150"/>
      <c r="C33" s="286" t="s">
        <v>465</v>
      </c>
      <c r="D33" s="292" t="s">
        <v>304</v>
      </c>
      <c r="E33" s="273">
        <v>317050</v>
      </c>
      <c r="F33" s="273">
        <v>162431</v>
      </c>
      <c r="G33" s="273">
        <v>741775</v>
      </c>
      <c r="H33" s="273">
        <v>0</v>
      </c>
      <c r="I33" s="285">
        <v>0</v>
      </c>
    </row>
    <row r="34" spans="1:10" ht="30" x14ac:dyDescent="0.2">
      <c r="A34" s="148"/>
      <c r="B34" s="150"/>
      <c r="C34" s="286" t="s">
        <v>258</v>
      </c>
      <c r="D34" s="293"/>
      <c r="E34" s="273"/>
      <c r="F34" s="273">
        <v>0</v>
      </c>
      <c r="G34" s="273">
        <v>0</v>
      </c>
      <c r="H34" s="273">
        <v>0</v>
      </c>
      <c r="I34" s="285">
        <v>0</v>
      </c>
    </row>
    <row r="35" spans="1:10" ht="15" x14ac:dyDescent="0.2">
      <c r="A35" s="148"/>
      <c r="B35" s="150"/>
      <c r="C35" s="286" t="s">
        <v>256</v>
      </c>
      <c r="D35" s="293"/>
      <c r="E35" s="273"/>
      <c r="F35" s="273"/>
      <c r="G35" s="273"/>
      <c r="H35" s="273"/>
      <c r="I35" s="285"/>
    </row>
    <row r="36" spans="1:10" ht="45.75" customHeight="1" x14ac:dyDescent="0.2">
      <c r="A36" s="148"/>
      <c r="B36" s="150"/>
      <c r="C36" s="286" t="s">
        <v>259</v>
      </c>
      <c r="D36" s="293"/>
      <c r="E36" s="273">
        <v>6000</v>
      </c>
      <c r="F36" s="273">
        <f>F37</f>
        <v>3334.9536400000002</v>
      </c>
      <c r="G36" s="273">
        <f>G37</f>
        <v>6000</v>
      </c>
      <c r="H36" s="273">
        <f>H37</f>
        <v>6000</v>
      </c>
      <c r="I36" s="285">
        <f>I37</f>
        <v>6000</v>
      </c>
    </row>
    <row r="37" spans="1:10" ht="30" x14ac:dyDescent="0.2">
      <c r="A37" s="148"/>
      <c r="B37" s="150"/>
      <c r="C37" s="286" t="s">
        <v>260</v>
      </c>
      <c r="D37" s="293"/>
      <c r="E37" s="273">
        <v>6000</v>
      </c>
      <c r="F37" s="273">
        <f>3334953.64/1000</f>
        <v>3334.9536400000002</v>
      </c>
      <c r="G37" s="273">
        <v>6000</v>
      </c>
      <c r="H37" s="273">
        <v>6000</v>
      </c>
      <c r="I37" s="285">
        <v>6000</v>
      </c>
    </row>
    <row r="38" spans="1:10" ht="15" x14ac:dyDescent="0.2">
      <c r="A38" s="148"/>
      <c r="B38" s="149">
        <v>2</v>
      </c>
      <c r="C38" s="283" t="s">
        <v>261</v>
      </c>
      <c r="D38" s="293"/>
      <c r="E38" s="273">
        <v>10228</v>
      </c>
      <c r="F38" s="273">
        <f>F39+F41+F43+F46</f>
        <v>6502.8217199999999</v>
      </c>
      <c r="G38" s="273">
        <f t="shared" ref="G38:I38" si="1">G39+G41+G43+G46</f>
        <v>56885.854999999996</v>
      </c>
      <c r="H38" s="273">
        <f t="shared" si="1"/>
        <v>16179</v>
      </c>
      <c r="I38" s="273">
        <f t="shared" si="1"/>
        <v>13996</v>
      </c>
    </row>
    <row r="39" spans="1:10" ht="15" x14ac:dyDescent="0.2">
      <c r="A39" s="148"/>
      <c r="B39" s="150"/>
      <c r="C39" s="286" t="s">
        <v>255</v>
      </c>
      <c r="D39" s="293"/>
      <c r="E39" s="273"/>
      <c r="F39" s="273"/>
      <c r="G39" s="273"/>
      <c r="H39" s="273"/>
      <c r="I39" s="285"/>
    </row>
    <row r="40" spans="1:10" ht="15" x14ac:dyDescent="0.2">
      <c r="A40" s="148"/>
      <c r="B40" s="150"/>
      <c r="C40" s="286" t="s">
        <v>256</v>
      </c>
      <c r="D40" s="293"/>
      <c r="E40" s="273"/>
      <c r="F40" s="273"/>
      <c r="G40" s="273"/>
      <c r="H40" s="273"/>
      <c r="I40" s="285"/>
    </row>
    <row r="41" spans="1:10" ht="30" x14ac:dyDescent="0.2">
      <c r="A41" s="148"/>
      <c r="B41" s="150"/>
      <c r="C41" s="286" t="s">
        <v>257</v>
      </c>
      <c r="D41" s="293"/>
      <c r="E41" s="273">
        <v>0</v>
      </c>
      <c r="F41" s="273">
        <f>F42</f>
        <v>0</v>
      </c>
      <c r="G41" s="273">
        <f>G42</f>
        <v>0</v>
      </c>
      <c r="H41" s="273">
        <f>H42</f>
        <v>0</v>
      </c>
      <c r="I41" s="285">
        <f>I42</f>
        <v>0</v>
      </c>
    </row>
    <row r="42" spans="1:10" ht="15" x14ac:dyDescent="0.2">
      <c r="A42" s="148"/>
      <c r="B42" s="150"/>
      <c r="C42" s="286" t="s">
        <v>256</v>
      </c>
      <c r="D42" s="293"/>
      <c r="E42" s="273">
        <v>0</v>
      </c>
      <c r="F42" s="273">
        <v>0</v>
      </c>
      <c r="G42" s="273">
        <v>0</v>
      </c>
      <c r="H42" s="273">
        <v>0</v>
      </c>
      <c r="I42" s="285">
        <v>0</v>
      </c>
    </row>
    <row r="43" spans="1:10" ht="30" x14ac:dyDescent="0.2">
      <c r="A43" s="148"/>
      <c r="B43" s="150"/>
      <c r="C43" s="286" t="s">
        <v>258</v>
      </c>
      <c r="D43" s="293"/>
      <c r="E43" s="273"/>
      <c r="F43" s="273">
        <f>SUM(F44:F45)</f>
        <v>0</v>
      </c>
      <c r="G43" s="273">
        <f t="shared" ref="G43:I43" si="2">SUM(G44:G45)</f>
        <v>13349</v>
      </c>
      <c r="H43" s="273">
        <f t="shared" si="2"/>
        <v>7995</v>
      </c>
      <c r="I43" s="273">
        <f t="shared" si="2"/>
        <v>7996</v>
      </c>
    </row>
    <row r="44" spans="1:10" ht="45" x14ac:dyDescent="0.2">
      <c r="A44" s="148"/>
      <c r="B44" s="150"/>
      <c r="C44" s="286" t="s">
        <v>469</v>
      </c>
      <c r="D44" s="291">
        <v>46022</v>
      </c>
      <c r="E44" s="273">
        <v>0</v>
      </c>
      <c r="F44" s="273">
        <v>0</v>
      </c>
      <c r="G44" s="273">
        <v>3496</v>
      </c>
      <c r="H44" s="273">
        <v>7995</v>
      </c>
      <c r="I44" s="285">
        <v>7996</v>
      </c>
      <c r="J44" s="219"/>
    </row>
    <row r="45" spans="1:10" ht="44.25" customHeight="1" x14ac:dyDescent="0.2">
      <c r="A45" s="148"/>
      <c r="B45" s="150"/>
      <c r="C45" s="286" t="s">
        <v>467</v>
      </c>
      <c r="D45" s="291">
        <v>45291</v>
      </c>
      <c r="E45" s="273">
        <v>0</v>
      </c>
      <c r="F45" s="273">
        <v>0</v>
      </c>
      <c r="G45" s="273">
        <v>9853</v>
      </c>
      <c r="H45" s="273">
        <v>0</v>
      </c>
      <c r="I45" s="285">
        <v>0</v>
      </c>
      <c r="J45" s="219"/>
    </row>
    <row r="46" spans="1:10" ht="44.25" customHeight="1" x14ac:dyDescent="0.2">
      <c r="A46" s="148"/>
      <c r="B46" s="150"/>
      <c r="C46" s="286" t="s">
        <v>259</v>
      </c>
      <c r="D46" s="293"/>
      <c r="E46" s="273">
        <v>10228</v>
      </c>
      <c r="F46" s="273">
        <f>SUM(F47:F50)</f>
        <v>6502.8217199999999</v>
      </c>
      <c r="G46" s="273">
        <f>SUM(G47:G50)</f>
        <v>43536.854999999996</v>
      </c>
      <c r="H46" s="273">
        <f>SUM(H47:H50)</f>
        <v>8184</v>
      </c>
      <c r="I46" s="273">
        <f>SUM(I47:I50)</f>
        <v>6000</v>
      </c>
      <c r="J46" s="220"/>
    </row>
    <row r="47" spans="1:10" ht="30" x14ac:dyDescent="0.2">
      <c r="A47" s="148"/>
      <c r="B47" s="150"/>
      <c r="C47" s="286" t="s">
        <v>260</v>
      </c>
      <c r="D47" s="293"/>
      <c r="E47" s="273">
        <v>10000</v>
      </c>
      <c r="F47" s="273">
        <f>6502821.72/1000</f>
        <v>6502.8217199999999</v>
      </c>
      <c r="G47" s="273">
        <v>10000</v>
      </c>
      <c r="H47" s="273">
        <v>6000</v>
      </c>
      <c r="I47" s="285">
        <v>6000</v>
      </c>
      <c r="J47" s="220"/>
    </row>
    <row r="48" spans="1:10" ht="63" customHeight="1" x14ac:dyDescent="0.2">
      <c r="A48" s="148"/>
      <c r="B48" s="150"/>
      <c r="C48" s="294" t="s">
        <v>466</v>
      </c>
      <c r="D48" s="291">
        <v>45405</v>
      </c>
      <c r="E48" s="273">
        <v>228</v>
      </c>
      <c r="F48" s="273">
        <v>0</v>
      </c>
      <c r="G48" s="273">
        <f>9215901/1000</f>
        <v>9215.9009999999998</v>
      </c>
      <c r="H48" s="273">
        <v>0</v>
      </c>
      <c r="I48" s="285">
        <v>0</v>
      </c>
      <c r="J48" s="219"/>
    </row>
    <row r="49" spans="1:10" ht="46.5" customHeight="1" x14ac:dyDescent="0.2">
      <c r="A49" s="148"/>
      <c r="B49" s="150"/>
      <c r="C49" s="294" t="s">
        <v>470</v>
      </c>
      <c r="D49" s="291">
        <v>45291</v>
      </c>
      <c r="E49" s="273">
        <v>0</v>
      </c>
      <c r="F49" s="273">
        <v>0</v>
      </c>
      <c r="G49" s="273">
        <v>20836</v>
      </c>
      <c r="H49" s="273">
        <v>0</v>
      </c>
      <c r="I49" s="285">
        <v>0</v>
      </c>
      <c r="J49" s="219"/>
    </row>
    <row r="50" spans="1:10" ht="60" x14ac:dyDescent="0.2">
      <c r="A50" s="148"/>
      <c r="B50" s="150"/>
      <c r="C50" s="294" t="s">
        <v>468</v>
      </c>
      <c r="D50" s="291">
        <v>45657</v>
      </c>
      <c r="E50" s="273">
        <v>0</v>
      </c>
      <c r="F50" s="273">
        <v>0</v>
      </c>
      <c r="G50" s="273">
        <f>3484954/1000</f>
        <v>3484.9540000000002</v>
      </c>
      <c r="H50" s="273">
        <v>2184</v>
      </c>
      <c r="I50" s="285">
        <v>0</v>
      </c>
      <c r="J50" s="219"/>
    </row>
    <row r="51" spans="1:10" s="44" customFormat="1" ht="15" x14ac:dyDescent="0.25">
      <c r="A51" s="148"/>
      <c r="B51" s="149">
        <v>3</v>
      </c>
      <c r="C51" s="283" t="s">
        <v>262</v>
      </c>
      <c r="D51" s="293"/>
      <c r="E51" s="273">
        <v>1250</v>
      </c>
      <c r="F51" s="273">
        <f>SUM(F52+F56+F58+F60)</f>
        <v>1105.68589</v>
      </c>
      <c r="G51" s="273">
        <f>SUM(G52+G56+G58+G60)</f>
        <v>1000</v>
      </c>
      <c r="H51" s="273">
        <f>SUM(H52+H56+H58+H60)</f>
        <v>0</v>
      </c>
      <c r="I51" s="288">
        <f>SUM(I52+I56+I58+I60)</f>
        <v>0</v>
      </c>
    </row>
    <row r="52" spans="1:10" ht="15" x14ac:dyDescent="0.2">
      <c r="A52" s="148"/>
      <c r="B52" s="150"/>
      <c r="C52" s="286" t="s">
        <v>255</v>
      </c>
      <c r="D52" s="293"/>
      <c r="E52" s="273">
        <v>1250</v>
      </c>
      <c r="F52" s="273">
        <f>SUM(F53:F54)</f>
        <v>1105.68589</v>
      </c>
      <c r="G52" s="273">
        <f>SUM(G53:G55)</f>
        <v>1000</v>
      </c>
      <c r="H52" s="273">
        <f t="shared" ref="H52:I52" si="3">SUM(H53:H54)</f>
        <v>0</v>
      </c>
      <c r="I52" s="273">
        <f t="shared" si="3"/>
        <v>0</v>
      </c>
    </row>
    <row r="53" spans="1:10" ht="14.25" customHeight="1" x14ac:dyDescent="0.2">
      <c r="A53" s="148"/>
      <c r="B53" s="150"/>
      <c r="C53" s="295" t="s">
        <v>415</v>
      </c>
      <c r="D53" s="292"/>
      <c r="E53" s="273">
        <v>250</v>
      </c>
      <c r="F53" s="273">
        <f>146044/1000</f>
        <v>146.04400000000001</v>
      </c>
      <c r="G53" s="273">
        <v>0</v>
      </c>
      <c r="H53" s="273">
        <v>0</v>
      </c>
      <c r="I53" s="285">
        <v>0</v>
      </c>
    </row>
    <row r="54" spans="1:10" ht="14.25" customHeight="1" x14ac:dyDescent="0.2">
      <c r="A54" s="148"/>
      <c r="B54" s="150"/>
      <c r="C54" s="296" t="s">
        <v>416</v>
      </c>
      <c r="D54" s="292"/>
      <c r="E54" s="273">
        <v>1000</v>
      </c>
      <c r="F54" s="273">
        <f>959641.89/1000</f>
        <v>959.64188999999999</v>
      </c>
      <c r="G54" s="273">
        <v>0</v>
      </c>
      <c r="H54" s="273">
        <v>0</v>
      </c>
      <c r="I54" s="285">
        <v>0</v>
      </c>
    </row>
    <row r="55" spans="1:10" ht="32.25" customHeight="1" x14ac:dyDescent="0.2">
      <c r="A55" s="148"/>
      <c r="B55" s="150"/>
      <c r="C55" s="272" t="s">
        <v>505</v>
      </c>
      <c r="D55" s="297"/>
      <c r="E55" s="273">
        <v>0</v>
      </c>
      <c r="F55" s="273">
        <v>0</v>
      </c>
      <c r="G55" s="273">
        <v>1000</v>
      </c>
      <c r="H55" s="273">
        <v>0</v>
      </c>
      <c r="I55" s="285">
        <v>0</v>
      </c>
    </row>
    <row r="56" spans="1:10" ht="30" x14ac:dyDescent="0.2">
      <c r="A56" s="148"/>
      <c r="B56" s="150"/>
      <c r="C56" s="298" t="s">
        <v>257</v>
      </c>
      <c r="D56" s="293"/>
      <c r="E56" s="273"/>
      <c r="F56" s="273"/>
      <c r="G56" s="273"/>
      <c r="H56" s="273"/>
      <c r="I56" s="285"/>
    </row>
    <row r="57" spans="1:10" ht="15" x14ac:dyDescent="0.2">
      <c r="A57" s="148"/>
      <c r="B57" s="150"/>
      <c r="C57" s="286" t="s">
        <v>256</v>
      </c>
      <c r="D57" s="293"/>
      <c r="E57" s="273"/>
      <c r="F57" s="273"/>
      <c r="G57" s="273"/>
      <c r="H57" s="273"/>
      <c r="I57" s="285"/>
    </row>
    <row r="58" spans="1:10" ht="30" x14ac:dyDescent="0.2">
      <c r="A58" s="148"/>
      <c r="B58" s="150"/>
      <c r="C58" s="286" t="s">
        <v>258</v>
      </c>
      <c r="D58" s="293"/>
      <c r="E58" s="273"/>
      <c r="F58" s="273"/>
      <c r="G58" s="273"/>
      <c r="H58" s="273"/>
      <c r="I58" s="285"/>
    </row>
    <row r="59" spans="1:10" ht="15" x14ac:dyDescent="0.2">
      <c r="A59" s="148"/>
      <c r="B59" s="150"/>
      <c r="C59" s="286" t="s">
        <v>256</v>
      </c>
      <c r="D59" s="293"/>
      <c r="E59" s="273"/>
      <c r="F59" s="273"/>
      <c r="G59" s="273"/>
      <c r="H59" s="273"/>
      <c r="I59" s="285"/>
    </row>
    <row r="60" spans="1:10" ht="30" customHeight="1" x14ac:dyDescent="0.2">
      <c r="A60" s="148"/>
      <c r="B60" s="150"/>
      <c r="C60" s="286" t="s">
        <v>259</v>
      </c>
      <c r="D60" s="293"/>
      <c r="E60" s="273"/>
      <c r="F60" s="273"/>
      <c r="G60" s="273"/>
      <c r="H60" s="273"/>
      <c r="I60" s="285"/>
    </row>
    <row r="61" spans="1:10" ht="15" x14ac:dyDescent="0.2">
      <c r="A61" s="148"/>
      <c r="B61" s="150"/>
      <c r="C61" s="286" t="s">
        <v>256</v>
      </c>
      <c r="D61" s="284"/>
      <c r="E61" s="273"/>
      <c r="F61" s="273"/>
      <c r="G61" s="273"/>
      <c r="H61" s="273"/>
      <c r="I61" s="285"/>
    </row>
    <row r="62" spans="1:10" s="44" customFormat="1" ht="15" x14ac:dyDescent="0.25">
      <c r="A62" s="148"/>
      <c r="B62" s="149">
        <v>4</v>
      </c>
      <c r="C62" s="283" t="s">
        <v>384</v>
      </c>
      <c r="D62" s="284"/>
      <c r="E62" s="273">
        <v>6570</v>
      </c>
      <c r="F62" s="273">
        <f>2648995.49/1000-F52</f>
        <v>1543.3096000000003</v>
      </c>
      <c r="G62" s="273">
        <f>'Anexa 6 INV SP'!F89/1000-'Anexa 4 INV'!G51</f>
        <v>5504</v>
      </c>
      <c r="H62" s="273">
        <v>4000</v>
      </c>
      <c r="I62" s="285">
        <v>4000</v>
      </c>
    </row>
    <row r="63" spans="1:10" s="44" customFormat="1" ht="15" customHeight="1" x14ac:dyDescent="0.25">
      <c r="A63" s="148"/>
      <c r="B63" s="152">
        <v>5</v>
      </c>
      <c r="C63" s="289" t="s">
        <v>263</v>
      </c>
      <c r="D63" s="290"/>
      <c r="E63" s="273">
        <v>5717</v>
      </c>
      <c r="F63" s="273">
        <f>SUM(F64:F66)</f>
        <v>5647</v>
      </c>
      <c r="G63" s="273">
        <f>SUM(G64:G66)</f>
        <v>6591.1049149999999</v>
      </c>
      <c r="H63" s="273">
        <f>SUM(H64:H66)</f>
        <v>6458.4187249999995</v>
      </c>
      <c r="I63" s="285">
        <f>SUM(I64:I66)</f>
        <v>6325.7325350000001</v>
      </c>
    </row>
    <row r="64" spans="1:10" ht="15" x14ac:dyDescent="0.2">
      <c r="A64" s="148"/>
      <c r="B64" s="150"/>
      <c r="C64" s="283" t="s">
        <v>312</v>
      </c>
      <c r="D64" s="284"/>
      <c r="E64" s="273">
        <v>0</v>
      </c>
      <c r="F64" s="273">
        <v>0</v>
      </c>
      <c r="G64" s="273">
        <v>0</v>
      </c>
      <c r="H64" s="273">
        <v>0</v>
      </c>
      <c r="I64" s="285">
        <v>0</v>
      </c>
    </row>
    <row r="65" spans="1:9" ht="15" x14ac:dyDescent="0.2">
      <c r="A65" s="148"/>
      <c r="B65" s="153"/>
      <c r="C65" s="299" t="s">
        <v>264</v>
      </c>
      <c r="D65" s="300"/>
      <c r="E65" s="273">
        <v>3020</v>
      </c>
      <c r="F65" s="301">
        <v>3019</v>
      </c>
      <c r="G65" s="273">
        <v>3020</v>
      </c>
      <c r="H65" s="273">
        <v>3020</v>
      </c>
      <c r="I65" s="285">
        <v>3020</v>
      </c>
    </row>
    <row r="66" spans="1:9" ht="15.75" thickBot="1" x14ac:dyDescent="0.25">
      <c r="A66" s="154"/>
      <c r="B66" s="155"/>
      <c r="C66" s="302" t="s">
        <v>265</v>
      </c>
      <c r="D66" s="303"/>
      <c r="E66" s="304">
        <v>2697</v>
      </c>
      <c r="F66" s="304">
        <v>2628</v>
      </c>
      <c r="G66" s="304">
        <f>(550620*5.1+142473*1.05*5.1)/1000</f>
        <v>3571.1049149999999</v>
      </c>
      <c r="H66" s="305">
        <f>(550620*5.1+117695*5.1*1.05)/1000</f>
        <v>3438.418725</v>
      </c>
      <c r="I66" s="305">
        <f>(550620*5.1+92917*5.1*1.05)/1000</f>
        <v>3305.7325350000001</v>
      </c>
    </row>
    <row r="67" spans="1:9" ht="15" x14ac:dyDescent="0.25">
      <c r="A67" s="137"/>
      <c r="B67" s="139"/>
      <c r="C67" s="140"/>
      <c r="D67" s="141"/>
      <c r="E67" s="137"/>
      <c r="F67" s="137"/>
      <c r="G67" s="137"/>
      <c r="H67" s="137"/>
      <c r="I67" s="137"/>
    </row>
    <row r="68" spans="1:9" ht="15" x14ac:dyDescent="0.25">
      <c r="A68" s="137"/>
      <c r="B68" s="139"/>
      <c r="C68" s="419" t="s">
        <v>75</v>
      </c>
      <c r="D68" s="419"/>
      <c r="E68" s="419"/>
      <c r="F68" s="157" t="s">
        <v>76</v>
      </c>
      <c r="G68" s="159"/>
      <c r="I68" s="137"/>
    </row>
    <row r="69" spans="1:9" ht="15" x14ac:dyDescent="0.25">
      <c r="A69" s="137"/>
      <c r="B69" s="139"/>
      <c r="C69" s="419" t="s">
        <v>266</v>
      </c>
      <c r="D69" s="419"/>
      <c r="E69" s="419"/>
      <c r="F69" s="157" t="s">
        <v>308</v>
      </c>
      <c r="G69" s="159"/>
      <c r="I69" s="137"/>
    </row>
    <row r="72" spans="1:9" x14ac:dyDescent="0.2">
      <c r="C72" s="42" t="s">
        <v>522</v>
      </c>
      <c r="F72" s="40" t="s">
        <v>523</v>
      </c>
    </row>
  </sheetData>
  <sheetProtection selectLockedCells="1" selectUnlockedCells="1"/>
  <mergeCells count="20">
    <mergeCell ref="I23:I24"/>
    <mergeCell ref="C68:E68"/>
    <mergeCell ref="C69:E69"/>
    <mergeCell ref="H23:H24"/>
    <mergeCell ref="G23:G24"/>
    <mergeCell ref="B23:B24"/>
    <mergeCell ref="C23:C24"/>
    <mergeCell ref="D23:D24"/>
    <mergeCell ref="E23:E24"/>
    <mergeCell ref="F23:F24"/>
    <mergeCell ref="J14:M14"/>
    <mergeCell ref="D1:F4"/>
    <mergeCell ref="A5:E5"/>
    <mergeCell ref="A7:H7"/>
    <mergeCell ref="A10:A11"/>
    <mergeCell ref="B10:B11"/>
    <mergeCell ref="C10:C11"/>
    <mergeCell ref="D10:D11"/>
    <mergeCell ref="E10:F10"/>
    <mergeCell ref="G10:I10"/>
  </mergeCells>
  <pageMargins left="0.55118110236220474" right="0" top="0.51181102362204722" bottom="0.23622047244094491" header="7.874015748031496E-2" footer="0.19685039370078741"/>
  <pageSetup paperSize="9" scale="68" firstPageNumber="0" fitToHeight="0" orientation="portrait" cellComments="asDisplayed" r:id="rId1"/>
  <headerFooter alignWithMargins="0">
    <oddFooter>&amp;CPagina &amp;P din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31"/>
  </sheetPr>
  <dimension ref="A1:L29"/>
  <sheetViews>
    <sheetView workbookViewId="0">
      <selection activeCell="G29" sqref="G29"/>
    </sheetView>
  </sheetViews>
  <sheetFormatPr defaultRowHeight="12.75" x14ac:dyDescent="0.2"/>
  <cols>
    <col min="1" max="1" width="4" style="19" customWidth="1"/>
    <col min="2" max="2" width="3" style="19" customWidth="1"/>
    <col min="3" max="3" width="33.42578125" style="19" customWidth="1"/>
    <col min="4" max="4" width="12" style="19" customWidth="1"/>
    <col min="5" max="5" width="10.5703125" style="19" customWidth="1"/>
    <col min="6" max="6" width="8.28515625" style="19" customWidth="1"/>
    <col min="7" max="7" width="10.140625" style="19" customWidth="1"/>
    <col min="8" max="8" width="9" style="19" customWidth="1"/>
    <col min="9" max="9" width="10.85546875" style="19" customWidth="1"/>
    <col min="10" max="10" width="8.28515625" style="19" customWidth="1"/>
    <col min="11" max="11" width="11.42578125" style="19" customWidth="1"/>
    <col min="12" max="12" width="10.85546875" style="19" customWidth="1"/>
    <col min="13" max="16384" width="9.140625" style="19"/>
  </cols>
  <sheetData>
    <row r="1" spans="1:12" ht="12.75" customHeight="1" x14ac:dyDescent="0.2">
      <c r="A1" s="83"/>
      <c r="B1" s="83"/>
      <c r="C1" s="83"/>
      <c r="D1" s="83"/>
      <c r="E1" s="83"/>
      <c r="F1" s="340" t="s">
        <v>387</v>
      </c>
      <c r="G1" s="340"/>
      <c r="H1" s="340"/>
      <c r="I1" s="340"/>
      <c r="J1" s="340"/>
      <c r="K1" s="162"/>
      <c r="L1" s="162"/>
    </row>
    <row r="2" spans="1:12" ht="15" x14ac:dyDescent="0.2">
      <c r="A2" s="128"/>
      <c r="B2" s="128"/>
      <c r="C2" s="128"/>
      <c r="D2" s="128"/>
      <c r="E2" s="128"/>
      <c r="F2" s="340"/>
      <c r="G2" s="340"/>
      <c r="H2" s="340"/>
      <c r="I2" s="340"/>
      <c r="J2" s="340"/>
      <c r="K2" s="162"/>
      <c r="L2" s="162"/>
    </row>
    <row r="3" spans="1:12" ht="15" x14ac:dyDescent="0.2">
      <c r="A3" s="128"/>
      <c r="B3" s="128"/>
      <c r="C3" s="128"/>
      <c r="D3" s="128"/>
      <c r="E3" s="128"/>
      <c r="F3" s="340"/>
      <c r="G3" s="340"/>
      <c r="H3" s="340"/>
      <c r="I3" s="340"/>
      <c r="J3" s="340"/>
      <c r="K3" s="162"/>
      <c r="L3" s="162"/>
    </row>
    <row r="4" spans="1:12" ht="15" x14ac:dyDescent="0.2">
      <c r="A4" s="128"/>
      <c r="B4" s="128"/>
      <c r="C4" s="128"/>
      <c r="D4" s="128"/>
      <c r="E4" s="128"/>
      <c r="F4" s="340"/>
      <c r="G4" s="340"/>
      <c r="H4" s="340"/>
      <c r="I4" s="340"/>
      <c r="J4" s="340"/>
      <c r="K4" s="162"/>
      <c r="L4" s="162"/>
    </row>
    <row r="5" spans="1:12" ht="15" x14ac:dyDescent="0.2">
      <c r="A5" s="391"/>
      <c r="B5" s="391"/>
      <c r="C5" s="391"/>
      <c r="D5" s="391"/>
      <c r="E5" s="391"/>
      <c r="F5" s="136"/>
      <c r="G5" s="162"/>
      <c r="H5" s="162"/>
      <c r="I5" s="162"/>
      <c r="J5" s="162"/>
      <c r="K5" s="162"/>
      <c r="L5" s="162"/>
    </row>
    <row r="6" spans="1:12" ht="15" x14ac:dyDescent="0.2">
      <c r="A6" s="391"/>
      <c r="B6" s="391"/>
      <c r="C6" s="391"/>
      <c r="D6" s="391"/>
      <c r="E6" s="391"/>
      <c r="F6" s="136"/>
      <c r="G6" s="162"/>
      <c r="H6" s="162"/>
      <c r="I6" s="162"/>
      <c r="J6" s="162"/>
      <c r="K6" s="162"/>
      <c r="L6" s="163" t="s">
        <v>524</v>
      </c>
    </row>
    <row r="7" spans="1:12" ht="15" x14ac:dyDescent="0.2">
      <c r="A7" s="162"/>
      <c r="B7" s="162"/>
      <c r="C7" s="162"/>
      <c r="D7" s="162"/>
      <c r="E7" s="162"/>
      <c r="F7" s="162"/>
      <c r="G7" s="162"/>
      <c r="H7" s="162"/>
      <c r="I7" s="162"/>
      <c r="J7" s="162"/>
      <c r="K7" s="162"/>
      <c r="L7" s="162"/>
    </row>
    <row r="8" spans="1:12" ht="18.75" x14ac:dyDescent="0.2">
      <c r="A8" s="162"/>
      <c r="B8" s="423" t="s">
        <v>267</v>
      </c>
      <c r="C8" s="423"/>
      <c r="D8" s="423"/>
      <c r="E8" s="423"/>
      <c r="F8" s="423"/>
      <c r="G8" s="423"/>
      <c r="H8" s="423"/>
      <c r="I8" s="423"/>
      <c r="J8" s="423"/>
      <c r="K8" s="423"/>
      <c r="L8" s="423"/>
    </row>
    <row r="9" spans="1:12" ht="15" x14ac:dyDescent="0.2">
      <c r="A9" s="162"/>
      <c r="B9" s="162"/>
      <c r="C9" s="162"/>
      <c r="D9" s="162"/>
      <c r="E9" s="162"/>
      <c r="F9" s="162"/>
      <c r="G9" s="162"/>
      <c r="H9" s="162"/>
      <c r="I9" s="162"/>
      <c r="J9" s="162"/>
      <c r="K9" s="162"/>
      <c r="L9" s="162"/>
    </row>
    <row r="10" spans="1:12" ht="15" x14ac:dyDescent="0.2">
      <c r="A10" s="162"/>
      <c r="B10" s="162"/>
      <c r="C10" s="162"/>
      <c r="D10" s="162"/>
      <c r="E10" s="162"/>
      <c r="F10" s="162"/>
      <c r="G10" s="162"/>
      <c r="H10" s="162"/>
      <c r="I10" s="162"/>
      <c r="J10" s="162"/>
      <c r="K10" s="162"/>
      <c r="L10" s="163" t="s">
        <v>0</v>
      </c>
    </row>
    <row r="11" spans="1:12" ht="26.25" customHeight="1" x14ac:dyDescent="0.2">
      <c r="A11" s="422" t="s">
        <v>268</v>
      </c>
      <c r="B11" s="422" t="s">
        <v>269</v>
      </c>
      <c r="C11" s="422"/>
      <c r="D11" s="422" t="s">
        <v>270</v>
      </c>
      <c r="E11" s="422" t="s">
        <v>450</v>
      </c>
      <c r="F11" s="422"/>
      <c r="G11" s="422" t="s">
        <v>454</v>
      </c>
      <c r="H11" s="422"/>
      <c r="I11" s="422" t="s">
        <v>455</v>
      </c>
      <c r="J11" s="422"/>
      <c r="K11" s="422" t="s">
        <v>456</v>
      </c>
      <c r="L11" s="422"/>
    </row>
    <row r="12" spans="1:12" ht="26.25" customHeight="1" x14ac:dyDescent="0.2">
      <c r="A12" s="422"/>
      <c r="B12" s="422"/>
      <c r="C12" s="422"/>
      <c r="D12" s="422"/>
      <c r="E12" s="422" t="s">
        <v>271</v>
      </c>
      <c r="F12" s="422"/>
      <c r="G12" s="427" t="s">
        <v>272</v>
      </c>
      <c r="H12" s="427"/>
      <c r="I12" s="427" t="s">
        <v>273</v>
      </c>
      <c r="J12" s="427"/>
      <c r="K12" s="427" t="s">
        <v>274</v>
      </c>
      <c r="L12" s="427"/>
    </row>
    <row r="13" spans="1:12" ht="28.5" customHeight="1" x14ac:dyDescent="0.2">
      <c r="A13" s="422"/>
      <c r="B13" s="422"/>
      <c r="C13" s="422"/>
      <c r="D13" s="422"/>
      <c r="E13" s="215" t="s">
        <v>275</v>
      </c>
      <c r="F13" s="164" t="s">
        <v>276</v>
      </c>
      <c r="G13" s="164" t="s">
        <v>277</v>
      </c>
      <c r="H13" s="164" t="s">
        <v>276</v>
      </c>
      <c r="I13" s="215" t="s">
        <v>277</v>
      </c>
      <c r="J13" s="164" t="s">
        <v>276</v>
      </c>
      <c r="K13" s="215" t="s">
        <v>277</v>
      </c>
      <c r="L13" s="164" t="s">
        <v>276</v>
      </c>
    </row>
    <row r="14" spans="1:12" s="45" customFormat="1" ht="15" x14ac:dyDescent="0.2">
      <c r="A14" s="160">
        <v>0</v>
      </c>
      <c r="B14" s="422">
        <v>1</v>
      </c>
      <c r="C14" s="422"/>
      <c r="D14" s="160">
        <v>2</v>
      </c>
      <c r="E14" s="160">
        <v>3</v>
      </c>
      <c r="F14" s="160">
        <v>4</v>
      </c>
      <c r="G14" s="160">
        <v>5</v>
      </c>
      <c r="H14" s="160">
        <v>6</v>
      </c>
      <c r="I14" s="160">
        <v>7</v>
      </c>
      <c r="J14" s="160">
        <v>8</v>
      </c>
      <c r="K14" s="160">
        <v>9</v>
      </c>
      <c r="L14" s="160">
        <v>10</v>
      </c>
    </row>
    <row r="15" spans="1:12" s="45" customFormat="1" ht="26.25" customHeight="1" x14ac:dyDescent="0.2">
      <c r="A15" s="177" t="s">
        <v>278</v>
      </c>
      <c r="B15" s="424" t="s">
        <v>267</v>
      </c>
      <c r="C15" s="424"/>
      <c r="D15" s="178">
        <v>0</v>
      </c>
      <c r="E15" s="216" t="s">
        <v>280</v>
      </c>
      <c r="F15" s="178">
        <v>0</v>
      </c>
      <c r="G15" s="216" t="s">
        <v>280</v>
      </c>
      <c r="H15" s="217">
        <v>0</v>
      </c>
      <c r="I15" s="217">
        <v>0</v>
      </c>
      <c r="J15" s="217">
        <v>0</v>
      </c>
      <c r="K15" s="217">
        <v>0</v>
      </c>
      <c r="L15" s="217">
        <v>0</v>
      </c>
    </row>
    <row r="16" spans="1:12" ht="30.75" customHeight="1" x14ac:dyDescent="0.2">
      <c r="A16" s="160">
        <v>1</v>
      </c>
      <c r="B16" s="424" t="s">
        <v>279</v>
      </c>
      <c r="C16" s="424"/>
      <c r="D16" s="179">
        <v>0</v>
      </c>
      <c r="E16" s="179">
        <v>0</v>
      </c>
      <c r="F16" s="216" t="s">
        <v>280</v>
      </c>
      <c r="G16" s="179">
        <v>0</v>
      </c>
      <c r="H16" s="161">
        <v>0</v>
      </c>
      <c r="I16" s="161">
        <v>0</v>
      </c>
      <c r="J16" s="161">
        <v>0</v>
      </c>
      <c r="K16" s="161">
        <v>0</v>
      </c>
      <c r="L16" s="161">
        <v>0</v>
      </c>
    </row>
    <row r="17" spans="1:12" ht="27" customHeight="1" x14ac:dyDescent="0.2">
      <c r="A17" s="160">
        <v>2</v>
      </c>
      <c r="B17" s="424" t="s">
        <v>281</v>
      </c>
      <c r="C17" s="424"/>
      <c r="D17" s="179">
        <v>0</v>
      </c>
      <c r="E17" s="179">
        <v>0</v>
      </c>
      <c r="F17" s="216" t="s">
        <v>280</v>
      </c>
      <c r="G17" s="179">
        <v>0</v>
      </c>
      <c r="H17" s="161">
        <v>0</v>
      </c>
      <c r="I17" s="161">
        <v>0</v>
      </c>
      <c r="J17" s="161">
        <v>0</v>
      </c>
      <c r="K17" s="161">
        <v>0</v>
      </c>
      <c r="L17" s="161">
        <v>0</v>
      </c>
    </row>
    <row r="18" spans="1:12" ht="13.9" customHeight="1" x14ac:dyDescent="0.2">
      <c r="A18" s="160"/>
      <c r="B18" s="421" t="s">
        <v>282</v>
      </c>
      <c r="C18" s="421"/>
      <c r="D18" s="179">
        <v>0</v>
      </c>
      <c r="E18" s="216" t="s">
        <v>280</v>
      </c>
      <c r="F18" s="216" t="s">
        <v>280</v>
      </c>
      <c r="G18" s="216" t="s">
        <v>280</v>
      </c>
      <c r="H18" s="161">
        <v>0</v>
      </c>
      <c r="I18" s="161">
        <v>0</v>
      </c>
      <c r="J18" s="161">
        <v>0</v>
      </c>
      <c r="K18" s="161">
        <v>0</v>
      </c>
      <c r="L18" s="161">
        <v>0</v>
      </c>
    </row>
    <row r="19" spans="1:12" ht="27" customHeight="1" x14ac:dyDescent="0.2">
      <c r="A19" s="177" t="s">
        <v>283</v>
      </c>
      <c r="B19" s="424" t="s">
        <v>284</v>
      </c>
      <c r="C19" s="424"/>
      <c r="D19" s="179">
        <v>0</v>
      </c>
      <c r="E19" s="179">
        <v>0</v>
      </c>
      <c r="F19" s="179">
        <v>0</v>
      </c>
      <c r="G19" s="179">
        <v>0</v>
      </c>
      <c r="H19" s="161">
        <v>0</v>
      </c>
      <c r="I19" s="161">
        <v>0</v>
      </c>
      <c r="J19" s="161">
        <v>0</v>
      </c>
      <c r="K19" s="161">
        <v>0</v>
      </c>
      <c r="L19" s="161">
        <v>0</v>
      </c>
    </row>
    <row r="20" spans="1:12" ht="13.15" customHeight="1" x14ac:dyDescent="0.2">
      <c r="A20" s="160">
        <v>1</v>
      </c>
      <c r="B20" s="420" t="s">
        <v>285</v>
      </c>
      <c r="C20" s="420"/>
      <c r="D20" s="179">
        <v>0</v>
      </c>
      <c r="E20" s="179">
        <v>0</v>
      </c>
      <c r="F20" s="179">
        <v>0</v>
      </c>
      <c r="G20" s="179">
        <v>0</v>
      </c>
      <c r="H20" s="161">
        <v>0</v>
      </c>
      <c r="I20" s="161">
        <v>0</v>
      </c>
      <c r="J20" s="161">
        <v>0</v>
      </c>
      <c r="K20" s="161">
        <v>0</v>
      </c>
      <c r="L20" s="161">
        <v>0</v>
      </c>
    </row>
    <row r="21" spans="1:12" ht="13.9" customHeight="1" x14ac:dyDescent="0.2">
      <c r="A21" s="160">
        <v>2</v>
      </c>
      <c r="B21" s="420" t="s">
        <v>286</v>
      </c>
      <c r="C21" s="420"/>
      <c r="D21" s="179">
        <v>0</v>
      </c>
      <c r="E21" s="179">
        <v>0</v>
      </c>
      <c r="F21" s="179">
        <v>0</v>
      </c>
      <c r="G21" s="179">
        <v>0</v>
      </c>
      <c r="H21" s="161">
        <v>0</v>
      </c>
      <c r="I21" s="161">
        <v>0</v>
      </c>
      <c r="J21" s="161">
        <v>0</v>
      </c>
      <c r="K21" s="161">
        <v>0</v>
      </c>
      <c r="L21" s="161">
        <v>0</v>
      </c>
    </row>
    <row r="22" spans="1:12" ht="13.9" customHeight="1" x14ac:dyDescent="0.2">
      <c r="A22" s="160"/>
      <c r="B22" s="421" t="s">
        <v>287</v>
      </c>
      <c r="C22" s="421"/>
      <c r="D22" s="179">
        <v>0</v>
      </c>
      <c r="E22" s="216" t="s">
        <v>280</v>
      </c>
      <c r="F22" s="179">
        <v>0</v>
      </c>
      <c r="G22" s="216" t="s">
        <v>280</v>
      </c>
      <c r="H22" s="161">
        <v>0</v>
      </c>
      <c r="I22" s="161">
        <v>0</v>
      </c>
      <c r="J22" s="161">
        <v>0</v>
      </c>
      <c r="K22" s="161">
        <v>0</v>
      </c>
      <c r="L22" s="161">
        <v>0</v>
      </c>
    </row>
    <row r="23" spans="1:12" ht="30" x14ac:dyDescent="0.2">
      <c r="A23" s="177" t="s">
        <v>288</v>
      </c>
      <c r="B23" s="421" t="s">
        <v>289</v>
      </c>
      <c r="C23" s="421"/>
      <c r="D23" s="179">
        <v>0</v>
      </c>
      <c r="E23" s="216" t="s">
        <v>280</v>
      </c>
      <c r="F23" s="218" t="s">
        <v>280</v>
      </c>
      <c r="G23" s="216" t="s">
        <v>280</v>
      </c>
      <c r="H23" s="161">
        <v>0</v>
      </c>
      <c r="I23" s="161">
        <v>0</v>
      </c>
      <c r="J23" s="161">
        <v>0</v>
      </c>
      <c r="K23" s="161">
        <v>0</v>
      </c>
      <c r="L23" s="161">
        <v>0</v>
      </c>
    </row>
    <row r="24" spans="1:12" ht="15" x14ac:dyDescent="0.25">
      <c r="A24" s="133"/>
      <c r="B24" s="133"/>
      <c r="C24" s="133"/>
      <c r="D24" s="133"/>
      <c r="E24" s="133"/>
      <c r="F24" s="133"/>
      <c r="G24" s="133"/>
      <c r="H24" s="133"/>
      <c r="I24" s="133"/>
      <c r="J24" s="133"/>
      <c r="K24" s="133"/>
      <c r="L24" s="133"/>
    </row>
    <row r="25" spans="1:12" ht="13.15" customHeight="1" x14ac:dyDescent="0.25">
      <c r="A25" s="133"/>
      <c r="B25" s="133"/>
      <c r="C25" s="425" t="s">
        <v>75</v>
      </c>
      <c r="D25" s="425"/>
      <c r="E25" s="425"/>
      <c r="F25" s="426" t="s">
        <v>76</v>
      </c>
      <c r="G25" s="426"/>
      <c r="H25" s="426"/>
      <c r="I25" s="132"/>
      <c r="J25" s="133"/>
      <c r="K25" s="133"/>
      <c r="L25" s="133"/>
    </row>
    <row r="26" spans="1:12" ht="13.9" customHeight="1" x14ac:dyDescent="0.25">
      <c r="A26" s="133"/>
      <c r="B26" s="133"/>
      <c r="C26" s="425" t="s">
        <v>232</v>
      </c>
      <c r="D26" s="425"/>
      <c r="E26" s="425"/>
      <c r="F26" s="426" t="s">
        <v>308</v>
      </c>
      <c r="G26" s="426"/>
      <c r="H26" s="426"/>
      <c r="I26" s="132"/>
      <c r="J26" s="133"/>
      <c r="K26" s="133"/>
      <c r="L26" s="133"/>
    </row>
    <row r="29" spans="1:12" x14ac:dyDescent="0.2">
      <c r="C29" s="232" t="s">
        <v>522</v>
      </c>
      <c r="G29" s="232" t="s">
        <v>523</v>
      </c>
    </row>
  </sheetData>
  <sheetProtection selectLockedCells="1" selectUnlockedCells="1"/>
  <mergeCells count="29">
    <mergeCell ref="E12:F12"/>
    <mergeCell ref="G12:H12"/>
    <mergeCell ref="I12:J12"/>
    <mergeCell ref="K12:L12"/>
    <mergeCell ref="I11:J11"/>
    <mergeCell ref="C26:E26"/>
    <mergeCell ref="F26:H26"/>
    <mergeCell ref="B15:C15"/>
    <mergeCell ref="B16:C16"/>
    <mergeCell ref="B17:C17"/>
    <mergeCell ref="B23:C23"/>
    <mergeCell ref="C25:E25"/>
    <mergeCell ref="F25:H25"/>
    <mergeCell ref="F1:J4"/>
    <mergeCell ref="B21:C21"/>
    <mergeCell ref="B22:C22"/>
    <mergeCell ref="B14:C14"/>
    <mergeCell ref="B11:C13"/>
    <mergeCell ref="D11:D13"/>
    <mergeCell ref="E11:F11"/>
    <mergeCell ref="G11:H11"/>
    <mergeCell ref="A5:E5"/>
    <mergeCell ref="A6:E6"/>
    <mergeCell ref="B8:L8"/>
    <mergeCell ref="A11:A13"/>
    <mergeCell ref="B18:C18"/>
    <mergeCell ref="B19:C19"/>
    <mergeCell ref="B20:C20"/>
    <mergeCell ref="K11:L11"/>
  </mergeCells>
  <printOptions horizontalCentered="1"/>
  <pageMargins left="0.35416666666666669" right="0.34027777777777779" top="0.6" bottom="0.57986111111111116" header="0.51180555555555551" footer="0.3298611111111111"/>
  <pageSetup paperSize="9" firstPageNumber="0" orientation="landscape" r:id="rId1"/>
  <headerFooter alignWithMargins="0">
    <oddFooter>&amp;C&amp;8Pagina &amp;P din &amp;N</oddFooter>
  </headerFooter>
  <ignoredErrors>
    <ignoredError sqref="F23"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31"/>
    <pageSetUpPr fitToPage="1"/>
  </sheetPr>
  <dimension ref="A1:L100"/>
  <sheetViews>
    <sheetView topLeftCell="A88" zoomScale="115" zoomScaleNormal="115" workbookViewId="0">
      <selection activeCell="G95" sqref="G95"/>
    </sheetView>
  </sheetViews>
  <sheetFormatPr defaultRowHeight="12.75" x14ac:dyDescent="0.2"/>
  <cols>
    <col min="1" max="1" width="4" style="19" customWidth="1"/>
    <col min="2" max="2" width="47.140625" style="19" customWidth="1"/>
    <col min="3" max="3" width="4.7109375" style="19" bestFit="1" customWidth="1"/>
    <col min="4" max="4" width="5.7109375" style="19" bestFit="1" customWidth="1"/>
    <col min="5" max="5" width="11.28515625" style="19" bestFit="1" customWidth="1"/>
    <col min="6" max="6" width="10" style="19" bestFit="1" customWidth="1"/>
    <col min="7" max="8" width="14.7109375" style="19" customWidth="1"/>
    <col min="9" max="9" width="8.28515625" style="19" customWidth="1"/>
    <col min="10" max="10" width="11.42578125" style="19" customWidth="1"/>
    <col min="11" max="11" width="10.85546875" style="19" customWidth="1"/>
    <col min="12" max="16384" width="9.140625" style="19"/>
  </cols>
  <sheetData>
    <row r="1" spans="1:12" ht="15" x14ac:dyDescent="0.25">
      <c r="A1" s="133"/>
      <c r="B1" s="133"/>
      <c r="C1" s="133"/>
      <c r="D1" s="133"/>
      <c r="E1" s="133"/>
      <c r="F1" s="133"/>
      <c r="G1" s="133"/>
      <c r="H1" s="133"/>
      <c r="I1" s="133"/>
      <c r="J1" s="133"/>
      <c r="K1" s="133"/>
      <c r="L1" s="133"/>
    </row>
    <row r="2" spans="1:12" ht="15" x14ac:dyDescent="0.25">
      <c r="A2" s="133"/>
      <c r="B2" s="133"/>
      <c r="C2" s="436" t="s">
        <v>383</v>
      </c>
      <c r="D2" s="436"/>
      <c r="E2" s="436"/>
      <c r="F2" s="436"/>
      <c r="G2" s="129"/>
      <c r="H2" s="17"/>
      <c r="I2" s="232"/>
      <c r="J2" s="232"/>
      <c r="K2"/>
      <c r="L2" s="133"/>
    </row>
    <row r="3" spans="1:12" ht="15" x14ac:dyDescent="0.25">
      <c r="A3" s="133"/>
      <c r="B3" s="133"/>
      <c r="C3" s="436"/>
      <c r="D3" s="436"/>
      <c r="E3" s="436"/>
      <c r="F3" s="436"/>
      <c r="G3" s="129"/>
      <c r="H3" s="17"/>
      <c r="I3" s="232"/>
      <c r="J3" s="232"/>
      <c r="K3"/>
      <c r="L3" s="133"/>
    </row>
    <row r="4" spans="1:12" ht="15" x14ac:dyDescent="0.25">
      <c r="A4" s="83"/>
      <c r="B4" s="83"/>
      <c r="C4" s="436"/>
      <c r="D4" s="436"/>
      <c r="E4" s="436"/>
      <c r="F4" s="436"/>
      <c r="G4" s="129"/>
      <c r="H4" s="17"/>
      <c r="I4" s="232"/>
      <c r="J4" s="232"/>
      <c r="K4"/>
      <c r="L4" s="133"/>
    </row>
    <row r="5" spans="1:12" ht="15" x14ac:dyDescent="0.25">
      <c r="A5" s="83"/>
      <c r="B5" s="83"/>
      <c r="C5" s="436"/>
      <c r="D5" s="436"/>
      <c r="E5" s="436"/>
      <c r="F5" s="436"/>
      <c r="G5" s="129"/>
      <c r="H5" s="17"/>
      <c r="I5" s="232"/>
      <c r="J5" s="232"/>
      <c r="K5"/>
      <c r="L5" s="133"/>
    </row>
    <row r="6" spans="1:12" ht="15" x14ac:dyDescent="0.25">
      <c r="A6" s="83"/>
      <c r="B6" s="83"/>
      <c r="C6" s="436"/>
      <c r="D6" s="436"/>
      <c r="E6" s="436"/>
      <c r="F6" s="436"/>
      <c r="G6" s="129"/>
      <c r="H6" s="17"/>
      <c r="I6"/>
      <c r="J6"/>
      <c r="K6"/>
      <c r="L6" s="133"/>
    </row>
    <row r="7" spans="1:12" ht="15" x14ac:dyDescent="0.25">
      <c r="A7" s="133"/>
      <c r="B7" s="133"/>
      <c r="C7" s="133"/>
      <c r="D7" s="133"/>
      <c r="E7" s="133"/>
      <c r="F7" s="133"/>
      <c r="G7" s="165" t="s">
        <v>521</v>
      </c>
      <c r="H7" s="232"/>
      <c r="I7" s="232"/>
      <c r="J7" s="232"/>
      <c r="K7"/>
      <c r="L7" s="133"/>
    </row>
    <row r="8" spans="1:12" ht="15" x14ac:dyDescent="0.25">
      <c r="A8" s="133"/>
      <c r="B8" s="166"/>
      <c r="C8" s="166"/>
      <c r="D8" s="166"/>
      <c r="E8" s="166"/>
      <c r="F8" s="166"/>
      <c r="G8" s="166"/>
      <c r="H8" s="49"/>
      <c r="I8" s="49"/>
      <c r="J8" s="49"/>
      <c r="K8"/>
      <c r="L8" s="133"/>
    </row>
    <row r="9" spans="1:12" ht="15" x14ac:dyDescent="0.25">
      <c r="A9" s="437" t="s">
        <v>457</v>
      </c>
      <c r="B9" s="437"/>
      <c r="C9" s="437"/>
      <c r="D9" s="437"/>
      <c r="E9" s="437"/>
      <c r="F9" s="437"/>
      <c r="G9" s="437"/>
      <c r="H9" s="48"/>
      <c r="I9" s="48"/>
      <c r="J9" s="48"/>
      <c r="K9"/>
      <c r="L9" s="133"/>
    </row>
    <row r="10" spans="1:12" ht="15" x14ac:dyDescent="0.25">
      <c r="A10" s="167"/>
      <c r="B10" s="167"/>
      <c r="C10" s="167"/>
      <c r="D10" s="167"/>
      <c r="E10" s="167"/>
      <c r="F10" s="167"/>
      <c r="G10" s="167"/>
      <c r="H10" s="48"/>
      <c r="I10" s="48"/>
      <c r="J10" s="48"/>
      <c r="K10"/>
      <c r="L10" s="133"/>
    </row>
    <row r="11" spans="1:12" ht="15" x14ac:dyDescent="0.25">
      <c r="A11" s="167"/>
      <c r="B11" s="167"/>
      <c r="C11" s="167"/>
      <c r="D11" s="167"/>
      <c r="E11" s="167"/>
      <c r="F11" s="168" t="s">
        <v>389</v>
      </c>
      <c r="G11" s="162"/>
      <c r="H11" s="48"/>
      <c r="I11" s="48"/>
      <c r="J11" s="48"/>
      <c r="K11"/>
      <c r="L11" s="133"/>
    </row>
    <row r="12" spans="1:12" ht="30" x14ac:dyDescent="0.25">
      <c r="A12" s="233" t="s">
        <v>293</v>
      </c>
      <c r="B12" s="234" t="s">
        <v>302</v>
      </c>
      <c r="C12" s="234" t="s">
        <v>294</v>
      </c>
      <c r="D12" s="234" t="s">
        <v>295</v>
      </c>
      <c r="E12" s="235" t="s">
        <v>296</v>
      </c>
      <c r="F12" s="236" t="s">
        <v>390</v>
      </c>
      <c r="G12" s="234" t="s">
        <v>297</v>
      </c>
      <c r="H12" s="56"/>
      <c r="I12" s="56"/>
      <c r="J12" s="232"/>
      <c r="K12"/>
      <c r="L12" s="133"/>
    </row>
    <row r="13" spans="1:12" ht="15" x14ac:dyDescent="0.25">
      <c r="A13" s="237">
        <v>1</v>
      </c>
      <c r="B13" s="238" t="s">
        <v>432</v>
      </c>
      <c r="C13" s="237"/>
      <c r="D13" s="237"/>
      <c r="E13" s="239">
        <v>250000</v>
      </c>
      <c r="F13" s="239">
        <f t="shared" ref="F13" si="0">E13</f>
        <v>250000</v>
      </c>
      <c r="G13" s="237" t="s">
        <v>298</v>
      </c>
      <c r="H13" s="55"/>
      <c r="I13" s="55"/>
      <c r="J13" s="232"/>
      <c r="K13"/>
      <c r="L13" s="133"/>
    </row>
    <row r="14" spans="1:12" ht="45" x14ac:dyDescent="0.25">
      <c r="A14" s="237">
        <v>2</v>
      </c>
      <c r="B14" s="307" t="s">
        <v>435</v>
      </c>
      <c r="C14" s="237"/>
      <c r="D14" s="237"/>
      <c r="E14" s="239">
        <v>120000</v>
      </c>
      <c r="F14" s="239">
        <f>E14</f>
        <v>120000</v>
      </c>
      <c r="G14" s="237" t="s">
        <v>298</v>
      </c>
      <c r="H14" s="232"/>
      <c r="I14" s="232"/>
      <c r="J14" s="232"/>
      <c r="K14"/>
      <c r="L14" s="133"/>
    </row>
    <row r="15" spans="1:12" ht="15" x14ac:dyDescent="0.25">
      <c r="A15" s="237">
        <v>3</v>
      </c>
      <c r="B15" s="238" t="s">
        <v>419</v>
      </c>
      <c r="C15" s="240"/>
      <c r="D15" s="240">
        <v>2</v>
      </c>
      <c r="E15" s="241">
        <v>200000</v>
      </c>
      <c r="F15" s="241">
        <f>D15*E15</f>
        <v>400000</v>
      </c>
      <c r="G15" s="240" t="s">
        <v>298</v>
      </c>
      <c r="H15" s="242"/>
      <c r="I15" s="242"/>
      <c r="J15" s="242"/>
      <c r="K15"/>
      <c r="L15" s="133"/>
    </row>
    <row r="16" spans="1:12" ht="30" x14ac:dyDescent="0.25">
      <c r="A16" s="237">
        <v>4</v>
      </c>
      <c r="B16" s="307" t="s">
        <v>417</v>
      </c>
      <c r="C16" s="240"/>
      <c r="D16" s="240"/>
      <c r="E16" s="241">
        <v>150000</v>
      </c>
      <c r="F16" s="241">
        <f>E16</f>
        <v>150000</v>
      </c>
      <c r="G16" s="240" t="s">
        <v>298</v>
      </c>
      <c r="H16" s="232"/>
      <c r="I16" s="232"/>
      <c r="J16" s="232"/>
      <c r="K16"/>
      <c r="L16" s="133"/>
    </row>
    <row r="17" spans="1:12" ht="15" x14ac:dyDescent="0.25">
      <c r="A17" s="237">
        <v>5</v>
      </c>
      <c r="B17" s="238" t="s">
        <v>418</v>
      </c>
      <c r="C17" s="240"/>
      <c r="D17" s="240"/>
      <c r="E17" s="241">
        <v>100000</v>
      </c>
      <c r="F17" s="241">
        <f>E17</f>
        <v>100000</v>
      </c>
      <c r="G17" s="240" t="s">
        <v>298</v>
      </c>
      <c r="H17" s="232"/>
      <c r="I17" s="232"/>
      <c r="J17" s="232"/>
      <c r="K17"/>
      <c r="L17" s="133"/>
    </row>
    <row r="18" spans="1:12" ht="15" x14ac:dyDescent="0.25">
      <c r="A18" s="433" t="s">
        <v>300</v>
      </c>
      <c r="B18" s="434"/>
      <c r="C18" s="434"/>
      <c r="D18" s="434"/>
      <c r="E18" s="435"/>
      <c r="F18" s="243">
        <f>SUM(F13:F17)</f>
        <v>1020000</v>
      </c>
      <c r="G18" s="244"/>
      <c r="H18" s="232"/>
      <c r="I18" s="232"/>
      <c r="J18" s="232"/>
      <c r="K18"/>
      <c r="L18" s="133"/>
    </row>
    <row r="19" spans="1:12" ht="15" x14ac:dyDescent="0.25">
      <c r="A19" s="237">
        <v>6</v>
      </c>
      <c r="B19" s="161" t="s">
        <v>433</v>
      </c>
      <c r="C19" s="164" t="s">
        <v>299</v>
      </c>
      <c r="D19" s="245">
        <v>1</v>
      </c>
      <c r="E19" s="246">
        <v>165000</v>
      </c>
      <c r="F19" s="247">
        <f>D19*E19</f>
        <v>165000</v>
      </c>
      <c r="G19" s="164" t="s">
        <v>472</v>
      </c>
      <c r="H19" s="232"/>
      <c r="I19" s="232"/>
      <c r="J19" s="232"/>
      <c r="K19"/>
      <c r="L19" s="133"/>
    </row>
    <row r="20" spans="1:12" ht="30" x14ac:dyDescent="0.25">
      <c r="A20" s="237">
        <v>7</v>
      </c>
      <c r="B20" s="161" t="s">
        <v>473</v>
      </c>
      <c r="C20" s="164" t="s">
        <v>299</v>
      </c>
      <c r="D20" s="245">
        <v>2</v>
      </c>
      <c r="E20" s="246">
        <v>10000</v>
      </c>
      <c r="F20" s="247">
        <f t="shared" ref="F20:F32" si="1">D20*E20</f>
        <v>20000</v>
      </c>
      <c r="G20" s="164" t="s">
        <v>510</v>
      </c>
      <c r="H20" s="232"/>
      <c r="I20" s="232"/>
      <c r="J20" s="232"/>
      <c r="K20"/>
      <c r="L20" s="133"/>
    </row>
    <row r="21" spans="1:12" ht="15" x14ac:dyDescent="0.25">
      <c r="A21" s="237">
        <v>8</v>
      </c>
      <c r="B21" s="161" t="s">
        <v>420</v>
      </c>
      <c r="C21" s="164" t="s">
        <v>299</v>
      </c>
      <c r="D21" s="245">
        <v>1</v>
      </c>
      <c r="E21" s="246">
        <v>10000</v>
      </c>
      <c r="F21" s="247">
        <f t="shared" si="1"/>
        <v>10000</v>
      </c>
      <c r="G21" s="164" t="s">
        <v>511</v>
      </c>
      <c r="H21" s="232"/>
      <c r="I21" s="232"/>
      <c r="J21" s="232"/>
      <c r="K21"/>
      <c r="L21" s="133"/>
    </row>
    <row r="22" spans="1:12" ht="15" x14ac:dyDescent="0.25">
      <c r="A22" s="237">
        <v>9</v>
      </c>
      <c r="B22" s="161" t="s">
        <v>423</v>
      </c>
      <c r="C22" s="164" t="s">
        <v>299</v>
      </c>
      <c r="D22" s="245">
        <v>1</v>
      </c>
      <c r="E22" s="246">
        <v>10000</v>
      </c>
      <c r="F22" s="247">
        <f t="shared" si="1"/>
        <v>10000</v>
      </c>
      <c r="G22" s="164" t="s">
        <v>474</v>
      </c>
      <c r="H22" s="232"/>
      <c r="I22" s="232"/>
      <c r="J22" s="232"/>
      <c r="K22"/>
      <c r="L22" s="133"/>
    </row>
    <row r="23" spans="1:12" ht="15" x14ac:dyDescent="0.25">
      <c r="A23" s="237">
        <v>10</v>
      </c>
      <c r="B23" s="161" t="s">
        <v>421</v>
      </c>
      <c r="C23" s="164" t="s">
        <v>299</v>
      </c>
      <c r="D23" s="245">
        <v>1</v>
      </c>
      <c r="E23" s="246">
        <v>15000</v>
      </c>
      <c r="F23" s="247">
        <f t="shared" si="1"/>
        <v>15000</v>
      </c>
      <c r="G23" s="164" t="s">
        <v>474</v>
      </c>
      <c r="H23" s="232"/>
      <c r="I23" s="232"/>
      <c r="J23" s="232"/>
      <c r="K23"/>
      <c r="L23" s="133"/>
    </row>
    <row r="24" spans="1:12" ht="15" x14ac:dyDescent="0.25">
      <c r="A24" s="237">
        <v>11</v>
      </c>
      <c r="B24" s="161" t="s">
        <v>395</v>
      </c>
      <c r="C24" s="164" t="s">
        <v>299</v>
      </c>
      <c r="D24" s="245">
        <v>1</v>
      </c>
      <c r="E24" s="246">
        <v>16000</v>
      </c>
      <c r="F24" s="247">
        <f t="shared" si="1"/>
        <v>16000</v>
      </c>
      <c r="G24" s="164" t="s">
        <v>474</v>
      </c>
      <c r="H24" s="232"/>
      <c r="I24" s="232"/>
      <c r="J24" s="232"/>
      <c r="K24"/>
      <c r="L24" s="133"/>
    </row>
    <row r="25" spans="1:12" ht="15" x14ac:dyDescent="0.25">
      <c r="A25" s="237">
        <v>12</v>
      </c>
      <c r="B25" s="161" t="s">
        <v>475</v>
      </c>
      <c r="C25" s="164" t="s">
        <v>299</v>
      </c>
      <c r="D25" s="245">
        <v>1</v>
      </c>
      <c r="E25" s="246">
        <v>12000</v>
      </c>
      <c r="F25" s="247">
        <f t="shared" si="1"/>
        <v>12000</v>
      </c>
      <c r="G25" s="164" t="s">
        <v>474</v>
      </c>
      <c r="H25" s="232"/>
      <c r="I25" s="232"/>
      <c r="J25" s="232"/>
      <c r="K25"/>
      <c r="L25" s="133"/>
    </row>
    <row r="26" spans="1:12" ht="15" x14ac:dyDescent="0.25">
      <c r="A26" s="237">
        <v>13</v>
      </c>
      <c r="B26" s="161" t="s">
        <v>476</v>
      </c>
      <c r="C26" s="164" t="s">
        <v>299</v>
      </c>
      <c r="D26" s="245">
        <v>2</v>
      </c>
      <c r="E26" s="246">
        <v>4500</v>
      </c>
      <c r="F26" s="247">
        <f t="shared" si="1"/>
        <v>9000</v>
      </c>
      <c r="G26" s="164" t="s">
        <v>474</v>
      </c>
      <c r="H26" s="232"/>
      <c r="I26" s="232"/>
      <c r="J26" s="232"/>
      <c r="K26"/>
      <c r="L26" s="133"/>
    </row>
    <row r="27" spans="1:12" ht="15" x14ac:dyDescent="0.25">
      <c r="A27" s="237">
        <v>14</v>
      </c>
      <c r="B27" s="161" t="s">
        <v>477</v>
      </c>
      <c r="C27" s="164" t="s">
        <v>299</v>
      </c>
      <c r="D27" s="245">
        <v>1</v>
      </c>
      <c r="E27" s="246">
        <v>3500</v>
      </c>
      <c r="F27" s="247">
        <f t="shared" si="1"/>
        <v>3500</v>
      </c>
      <c r="G27" s="164" t="s">
        <v>474</v>
      </c>
      <c r="H27" s="232"/>
      <c r="I27" s="232"/>
      <c r="J27" s="232"/>
      <c r="K27"/>
      <c r="L27" s="133"/>
    </row>
    <row r="28" spans="1:12" ht="15" x14ac:dyDescent="0.25">
      <c r="A28" s="237">
        <v>15</v>
      </c>
      <c r="B28" s="161" t="s">
        <v>478</v>
      </c>
      <c r="C28" s="164" t="s">
        <v>299</v>
      </c>
      <c r="D28" s="245">
        <v>1</v>
      </c>
      <c r="E28" s="246">
        <v>7500</v>
      </c>
      <c r="F28" s="247">
        <f t="shared" si="1"/>
        <v>7500</v>
      </c>
      <c r="G28" s="164" t="s">
        <v>474</v>
      </c>
      <c r="H28" s="232"/>
      <c r="I28" s="232"/>
      <c r="J28" s="232"/>
      <c r="K28"/>
      <c r="L28" s="133"/>
    </row>
    <row r="29" spans="1:12" ht="15" x14ac:dyDescent="0.25">
      <c r="A29" s="237">
        <v>16</v>
      </c>
      <c r="B29" s="161" t="s">
        <v>479</v>
      </c>
      <c r="C29" s="164" t="s">
        <v>299</v>
      </c>
      <c r="D29" s="245">
        <v>1</v>
      </c>
      <c r="E29" s="246">
        <v>6000</v>
      </c>
      <c r="F29" s="247">
        <f t="shared" si="1"/>
        <v>6000</v>
      </c>
      <c r="G29" s="164" t="s">
        <v>474</v>
      </c>
      <c r="H29" s="232"/>
      <c r="I29" s="232"/>
      <c r="J29" s="232"/>
      <c r="K29"/>
      <c r="L29" s="133"/>
    </row>
    <row r="30" spans="1:12" ht="15" x14ac:dyDescent="0.25">
      <c r="A30" s="237">
        <v>17</v>
      </c>
      <c r="B30" s="265" t="s">
        <v>430</v>
      </c>
      <c r="C30" s="164" t="s">
        <v>299</v>
      </c>
      <c r="D30" s="160">
        <v>1</v>
      </c>
      <c r="E30" s="252">
        <v>232500</v>
      </c>
      <c r="F30" s="253">
        <f t="shared" si="1"/>
        <v>232500</v>
      </c>
      <c r="G30" s="164" t="s">
        <v>381</v>
      </c>
      <c r="H30" s="254"/>
      <c r="I30" s="254"/>
      <c r="J30" s="254"/>
      <c r="K30" s="255"/>
      <c r="L30" s="133"/>
    </row>
    <row r="31" spans="1:12" ht="15" x14ac:dyDescent="0.25">
      <c r="A31" s="237">
        <v>18</v>
      </c>
      <c r="B31" s="265" t="s">
        <v>431</v>
      </c>
      <c r="C31" s="164" t="s">
        <v>299</v>
      </c>
      <c r="D31" s="160">
        <v>1</v>
      </c>
      <c r="E31" s="252">
        <v>232500</v>
      </c>
      <c r="F31" s="253">
        <f t="shared" si="1"/>
        <v>232500</v>
      </c>
      <c r="G31" s="164" t="s">
        <v>422</v>
      </c>
      <c r="H31" s="254"/>
      <c r="I31" s="254"/>
      <c r="J31" s="254"/>
      <c r="K31" s="255"/>
      <c r="L31" s="133"/>
    </row>
    <row r="32" spans="1:12" ht="15" x14ac:dyDescent="0.25">
      <c r="A32" s="237">
        <v>19</v>
      </c>
      <c r="B32" s="161" t="s">
        <v>433</v>
      </c>
      <c r="C32" s="164" t="s">
        <v>299</v>
      </c>
      <c r="D32" s="245">
        <v>1</v>
      </c>
      <c r="E32" s="246">
        <v>165000</v>
      </c>
      <c r="F32" s="247">
        <f t="shared" si="1"/>
        <v>165000</v>
      </c>
      <c r="G32" s="164" t="s">
        <v>474</v>
      </c>
      <c r="H32" s="232"/>
      <c r="I32" s="232"/>
      <c r="J32" s="232"/>
      <c r="K32"/>
      <c r="L32" s="133"/>
    </row>
    <row r="33" spans="1:12" ht="15" x14ac:dyDescent="0.25">
      <c r="A33" s="430" t="s">
        <v>393</v>
      </c>
      <c r="B33" s="431"/>
      <c r="C33" s="431"/>
      <c r="D33" s="431"/>
      <c r="E33" s="432"/>
      <c r="F33" s="248">
        <f>SUM(F19:F32)</f>
        <v>904000</v>
      </c>
      <c r="G33" s="249"/>
      <c r="H33" s="232"/>
      <c r="I33" s="232"/>
      <c r="J33" s="232"/>
      <c r="K33"/>
      <c r="L33" s="133"/>
    </row>
    <row r="34" spans="1:12" ht="15" x14ac:dyDescent="0.25">
      <c r="A34" s="250">
        <v>20</v>
      </c>
      <c r="B34" s="265" t="s">
        <v>430</v>
      </c>
      <c r="C34" s="164" t="s">
        <v>299</v>
      </c>
      <c r="D34" s="160">
        <v>1</v>
      </c>
      <c r="E34" s="252">
        <v>232500</v>
      </c>
      <c r="F34" s="253">
        <f>D34*E34</f>
        <v>232500</v>
      </c>
      <c r="G34" s="164" t="s">
        <v>382</v>
      </c>
      <c r="H34" s="254"/>
      <c r="I34" s="254"/>
      <c r="J34" s="254"/>
      <c r="K34" s="255"/>
      <c r="L34" s="133"/>
    </row>
    <row r="35" spans="1:12" ht="15" x14ac:dyDescent="0.25">
      <c r="A35" s="250">
        <v>21</v>
      </c>
      <c r="B35" s="251" t="s">
        <v>433</v>
      </c>
      <c r="C35" s="164" t="s">
        <v>299</v>
      </c>
      <c r="D35" s="160">
        <v>1</v>
      </c>
      <c r="E35" s="252">
        <v>165000</v>
      </c>
      <c r="F35" s="253">
        <f t="shared" ref="F35:F44" si="2">D35*E35</f>
        <v>165000</v>
      </c>
      <c r="G35" s="164" t="s">
        <v>424</v>
      </c>
      <c r="H35" s="254"/>
      <c r="I35" s="254"/>
      <c r="J35" s="254"/>
      <c r="K35" s="255"/>
      <c r="L35" s="133"/>
    </row>
    <row r="36" spans="1:12" ht="15" x14ac:dyDescent="0.25">
      <c r="A36" s="250">
        <v>22</v>
      </c>
      <c r="B36" s="256" t="s">
        <v>480</v>
      </c>
      <c r="C36" s="164" t="s">
        <v>299</v>
      </c>
      <c r="D36" s="164">
        <v>2</v>
      </c>
      <c r="E36" s="253">
        <v>7000</v>
      </c>
      <c r="F36" s="253">
        <f t="shared" si="2"/>
        <v>14000</v>
      </c>
      <c r="G36" s="240" t="s">
        <v>513</v>
      </c>
      <c r="H36" s="232"/>
      <c r="I36" s="232"/>
      <c r="J36" s="232"/>
      <c r="K36"/>
      <c r="L36" s="133"/>
    </row>
    <row r="37" spans="1:12" ht="15" x14ac:dyDescent="0.25">
      <c r="A37" s="250">
        <v>23</v>
      </c>
      <c r="B37" s="256" t="s">
        <v>481</v>
      </c>
      <c r="C37" s="164" t="s">
        <v>299</v>
      </c>
      <c r="D37" s="164">
        <v>2</v>
      </c>
      <c r="E37" s="253">
        <v>18000</v>
      </c>
      <c r="F37" s="253">
        <f t="shared" si="2"/>
        <v>36000</v>
      </c>
      <c r="G37" s="240" t="s">
        <v>424</v>
      </c>
      <c r="H37" s="232"/>
      <c r="I37" s="232"/>
      <c r="J37" s="232"/>
      <c r="K37"/>
      <c r="L37" s="133"/>
    </row>
    <row r="38" spans="1:12" ht="15" x14ac:dyDescent="0.25">
      <c r="A38" s="250">
        <v>24</v>
      </c>
      <c r="B38" s="256" t="s">
        <v>482</v>
      </c>
      <c r="C38" s="164" t="s">
        <v>299</v>
      </c>
      <c r="D38" s="164">
        <v>1</v>
      </c>
      <c r="E38" s="253">
        <v>10000</v>
      </c>
      <c r="F38" s="253">
        <f t="shared" si="2"/>
        <v>10000</v>
      </c>
      <c r="G38" s="240" t="s">
        <v>382</v>
      </c>
      <c r="H38" s="232"/>
      <c r="I38" s="232"/>
      <c r="J38" s="232"/>
      <c r="K38"/>
      <c r="L38" s="133"/>
    </row>
    <row r="39" spans="1:12" ht="15" x14ac:dyDescent="0.25">
      <c r="A39" s="250">
        <v>25</v>
      </c>
      <c r="B39" s="256" t="s">
        <v>483</v>
      </c>
      <c r="C39" s="164" t="s">
        <v>299</v>
      </c>
      <c r="D39" s="164">
        <v>1</v>
      </c>
      <c r="E39" s="253">
        <v>5000</v>
      </c>
      <c r="F39" s="253">
        <f t="shared" si="2"/>
        <v>5000</v>
      </c>
      <c r="G39" s="240" t="s">
        <v>424</v>
      </c>
      <c r="H39" s="232"/>
      <c r="I39" s="232"/>
      <c r="J39" s="232"/>
      <c r="K39"/>
      <c r="L39" s="133"/>
    </row>
    <row r="40" spans="1:12" ht="15" x14ac:dyDescent="0.25">
      <c r="A40" s="250">
        <v>26</v>
      </c>
      <c r="B40" s="256" t="s">
        <v>401</v>
      </c>
      <c r="C40" s="164" t="s">
        <v>299</v>
      </c>
      <c r="D40" s="164">
        <v>1</v>
      </c>
      <c r="E40" s="253">
        <v>13000</v>
      </c>
      <c r="F40" s="253">
        <f t="shared" si="2"/>
        <v>13000</v>
      </c>
      <c r="G40" s="240" t="s">
        <v>424</v>
      </c>
      <c r="H40" s="232"/>
      <c r="I40" s="232"/>
      <c r="J40" s="232"/>
      <c r="K40"/>
      <c r="L40" s="133"/>
    </row>
    <row r="41" spans="1:12" ht="15" x14ac:dyDescent="0.25">
      <c r="A41" s="250">
        <v>27</v>
      </c>
      <c r="B41" s="256" t="s">
        <v>484</v>
      </c>
      <c r="C41" s="164" t="s">
        <v>299</v>
      </c>
      <c r="D41" s="164">
        <v>1</v>
      </c>
      <c r="E41" s="253">
        <v>5200</v>
      </c>
      <c r="F41" s="253">
        <f t="shared" si="2"/>
        <v>5200</v>
      </c>
      <c r="G41" s="240" t="s">
        <v>382</v>
      </c>
      <c r="H41" s="232"/>
      <c r="I41" s="232"/>
      <c r="J41" s="232"/>
      <c r="K41"/>
      <c r="L41" s="133"/>
    </row>
    <row r="42" spans="1:12" ht="15" x14ac:dyDescent="0.25">
      <c r="A42" s="250">
        <v>28</v>
      </c>
      <c r="B42" s="256" t="s">
        <v>485</v>
      </c>
      <c r="C42" s="164" t="s">
        <v>299</v>
      </c>
      <c r="D42" s="164">
        <v>1</v>
      </c>
      <c r="E42" s="253">
        <v>3600</v>
      </c>
      <c r="F42" s="253">
        <f t="shared" si="2"/>
        <v>3600</v>
      </c>
      <c r="G42" s="240" t="s">
        <v>426</v>
      </c>
      <c r="H42" s="232"/>
      <c r="I42" s="232"/>
      <c r="J42" s="232"/>
      <c r="K42"/>
      <c r="L42" s="133"/>
    </row>
    <row r="43" spans="1:12" ht="15" x14ac:dyDescent="0.25">
      <c r="A43" s="250">
        <v>29</v>
      </c>
      <c r="B43" s="256" t="s">
        <v>425</v>
      </c>
      <c r="C43" s="164" t="s">
        <v>299</v>
      </c>
      <c r="D43" s="164">
        <v>1</v>
      </c>
      <c r="E43" s="253">
        <v>4800</v>
      </c>
      <c r="F43" s="253">
        <f t="shared" si="2"/>
        <v>4800</v>
      </c>
      <c r="G43" s="240" t="s">
        <v>426</v>
      </c>
      <c r="H43" s="232"/>
      <c r="I43" s="232"/>
      <c r="J43" s="232"/>
      <c r="K43"/>
      <c r="L43" s="133"/>
    </row>
    <row r="44" spans="1:12" ht="15" x14ac:dyDescent="0.25">
      <c r="A44" s="250">
        <v>30</v>
      </c>
      <c r="B44" s="256" t="s">
        <v>486</v>
      </c>
      <c r="C44" s="164" t="s">
        <v>299</v>
      </c>
      <c r="D44" s="164">
        <v>1</v>
      </c>
      <c r="E44" s="253">
        <v>3500</v>
      </c>
      <c r="F44" s="253">
        <f t="shared" si="2"/>
        <v>3500</v>
      </c>
      <c r="G44" s="240" t="s">
        <v>426</v>
      </c>
      <c r="H44" s="232"/>
      <c r="I44" s="232"/>
      <c r="J44" s="232"/>
      <c r="K44"/>
      <c r="L44" s="133"/>
    </row>
    <row r="45" spans="1:12" ht="15" x14ac:dyDescent="0.25">
      <c r="A45" s="430" t="s">
        <v>394</v>
      </c>
      <c r="B45" s="431"/>
      <c r="C45" s="431"/>
      <c r="D45" s="431"/>
      <c r="E45" s="432"/>
      <c r="F45" s="248">
        <f>SUM(F34:F44)</f>
        <v>492600</v>
      </c>
      <c r="G45" s="249"/>
      <c r="H45" s="232"/>
      <c r="I45" s="232"/>
      <c r="J45" s="232"/>
      <c r="K45"/>
      <c r="L45" s="133"/>
    </row>
    <row r="46" spans="1:12" ht="15" x14ac:dyDescent="0.25">
      <c r="A46" s="433" t="s">
        <v>307</v>
      </c>
      <c r="B46" s="434"/>
      <c r="C46" s="434"/>
      <c r="D46" s="434"/>
      <c r="E46" s="435"/>
      <c r="F46" s="248">
        <f>F33+F45</f>
        <v>1396600</v>
      </c>
      <c r="G46" s="249"/>
      <c r="H46" s="232"/>
      <c r="I46" s="232"/>
      <c r="J46" s="232"/>
      <c r="K46"/>
      <c r="L46" s="133"/>
    </row>
    <row r="47" spans="1:12" ht="15" x14ac:dyDescent="0.25">
      <c r="A47" s="164">
        <v>31</v>
      </c>
      <c r="B47" s="257" t="s">
        <v>433</v>
      </c>
      <c r="C47" s="164" t="s">
        <v>299</v>
      </c>
      <c r="D47" s="258">
        <v>1</v>
      </c>
      <c r="E47" s="259">
        <v>165000</v>
      </c>
      <c r="F47" s="259">
        <f>D47*E47</f>
        <v>165000</v>
      </c>
      <c r="G47" s="260" t="s">
        <v>305</v>
      </c>
      <c r="H47" s="232"/>
      <c r="I47" s="232"/>
      <c r="J47" s="232"/>
      <c r="K47"/>
      <c r="L47" s="133"/>
    </row>
    <row r="48" spans="1:12" ht="15" x14ac:dyDescent="0.25">
      <c r="A48" s="164">
        <v>32</v>
      </c>
      <c r="B48" s="161" t="s">
        <v>487</v>
      </c>
      <c r="C48" s="164" t="s">
        <v>299</v>
      </c>
      <c r="D48" s="261">
        <v>1</v>
      </c>
      <c r="E48" s="253">
        <v>130000</v>
      </c>
      <c r="F48" s="259">
        <f t="shared" ref="F48:F56" si="3">D48*E48</f>
        <v>130000</v>
      </c>
      <c r="G48" s="260" t="s">
        <v>305</v>
      </c>
      <c r="H48" s="428"/>
      <c r="I48" s="429"/>
      <c r="J48" s="232"/>
      <c r="K48"/>
      <c r="L48" s="133"/>
    </row>
    <row r="49" spans="1:12" ht="15" x14ac:dyDescent="0.25">
      <c r="A49" s="164">
        <v>33</v>
      </c>
      <c r="B49" s="161" t="s">
        <v>488</v>
      </c>
      <c r="C49" s="164" t="s">
        <v>299</v>
      </c>
      <c r="D49" s="261">
        <v>1</v>
      </c>
      <c r="E49" s="253">
        <v>90000</v>
      </c>
      <c r="F49" s="259">
        <f t="shared" si="3"/>
        <v>90000</v>
      </c>
      <c r="G49" s="260" t="s">
        <v>305</v>
      </c>
      <c r="H49" s="262"/>
      <c r="I49" s="262"/>
      <c r="J49" s="232"/>
      <c r="K49"/>
      <c r="L49" s="133"/>
    </row>
    <row r="50" spans="1:12" ht="15" x14ac:dyDescent="0.25">
      <c r="A50" s="164">
        <v>34</v>
      </c>
      <c r="B50" s="161" t="s">
        <v>489</v>
      </c>
      <c r="C50" s="164" t="s">
        <v>299</v>
      </c>
      <c r="D50" s="261">
        <v>2</v>
      </c>
      <c r="E50" s="253">
        <v>5000</v>
      </c>
      <c r="F50" s="259">
        <f t="shared" si="3"/>
        <v>10000</v>
      </c>
      <c r="G50" s="260" t="s">
        <v>305</v>
      </c>
      <c r="H50" s="262"/>
      <c r="I50" s="262"/>
      <c r="J50" s="232"/>
      <c r="K50"/>
      <c r="L50" s="133"/>
    </row>
    <row r="51" spans="1:12" ht="15" x14ac:dyDescent="0.25">
      <c r="A51" s="164">
        <v>35</v>
      </c>
      <c r="B51" s="161" t="s">
        <v>490</v>
      </c>
      <c r="C51" s="164" t="s">
        <v>299</v>
      </c>
      <c r="D51" s="261">
        <v>2</v>
      </c>
      <c r="E51" s="253">
        <v>5000</v>
      </c>
      <c r="F51" s="259">
        <f t="shared" si="3"/>
        <v>10000</v>
      </c>
      <c r="G51" s="260" t="s">
        <v>305</v>
      </c>
      <c r="H51" s="262"/>
      <c r="I51" s="262"/>
      <c r="J51" s="232"/>
      <c r="K51"/>
      <c r="L51" s="133"/>
    </row>
    <row r="52" spans="1:12" ht="15" x14ac:dyDescent="0.25">
      <c r="A52" s="164">
        <v>36</v>
      </c>
      <c r="B52" s="161" t="s">
        <v>485</v>
      </c>
      <c r="C52" s="164" t="s">
        <v>299</v>
      </c>
      <c r="D52" s="261">
        <v>2</v>
      </c>
      <c r="E52" s="253">
        <v>5000</v>
      </c>
      <c r="F52" s="259">
        <f t="shared" si="3"/>
        <v>10000</v>
      </c>
      <c r="G52" s="260" t="s">
        <v>305</v>
      </c>
      <c r="H52" s="262"/>
      <c r="I52" s="262"/>
      <c r="J52" s="232"/>
      <c r="K52"/>
      <c r="L52" s="133"/>
    </row>
    <row r="53" spans="1:12" ht="15" x14ac:dyDescent="0.25">
      <c r="A53" s="164">
        <v>37</v>
      </c>
      <c r="B53" s="263" t="s">
        <v>427</v>
      </c>
      <c r="C53" s="164" t="s">
        <v>299</v>
      </c>
      <c r="D53" s="261">
        <v>2</v>
      </c>
      <c r="E53" s="253">
        <v>6000</v>
      </c>
      <c r="F53" s="259">
        <f t="shared" si="3"/>
        <v>12000</v>
      </c>
      <c r="G53" s="260" t="s">
        <v>305</v>
      </c>
      <c r="H53" s="232"/>
      <c r="I53" s="232"/>
      <c r="J53" s="232"/>
      <c r="K53"/>
      <c r="L53" s="133"/>
    </row>
    <row r="54" spans="1:12" ht="15" x14ac:dyDescent="0.25">
      <c r="A54" s="164">
        <v>38</v>
      </c>
      <c r="B54" s="263" t="s">
        <v>491</v>
      </c>
      <c r="C54" s="164" t="s">
        <v>299</v>
      </c>
      <c r="D54" s="261">
        <v>1</v>
      </c>
      <c r="E54" s="253">
        <v>8500</v>
      </c>
      <c r="F54" s="259">
        <f t="shared" si="3"/>
        <v>8500</v>
      </c>
      <c r="G54" s="260" t="s">
        <v>305</v>
      </c>
      <c r="H54" s="232"/>
      <c r="I54" s="232"/>
      <c r="J54" s="232"/>
      <c r="K54"/>
      <c r="L54" s="133"/>
    </row>
    <row r="55" spans="1:12" ht="15" x14ac:dyDescent="0.25">
      <c r="A55" s="164">
        <v>39</v>
      </c>
      <c r="B55" s="263" t="s">
        <v>492</v>
      </c>
      <c r="C55" s="164" t="s">
        <v>299</v>
      </c>
      <c r="D55" s="261">
        <v>1</v>
      </c>
      <c r="E55" s="253">
        <v>9500</v>
      </c>
      <c r="F55" s="259">
        <f t="shared" si="3"/>
        <v>9500</v>
      </c>
      <c r="G55" s="260" t="s">
        <v>305</v>
      </c>
      <c r="H55" s="232"/>
      <c r="I55" s="232"/>
      <c r="J55" s="232"/>
      <c r="K55"/>
      <c r="L55" s="133"/>
    </row>
    <row r="56" spans="1:12" ht="15" x14ac:dyDescent="0.25">
      <c r="A56" s="164">
        <v>40</v>
      </c>
      <c r="B56" s="263" t="s">
        <v>301</v>
      </c>
      <c r="C56" s="164" t="s">
        <v>299</v>
      </c>
      <c r="D56" s="261">
        <v>1</v>
      </c>
      <c r="E56" s="253">
        <v>8000</v>
      </c>
      <c r="F56" s="259">
        <f t="shared" si="3"/>
        <v>8000</v>
      </c>
      <c r="G56" s="260" t="s">
        <v>305</v>
      </c>
      <c r="H56" s="232"/>
      <c r="I56" s="232"/>
      <c r="J56" s="232"/>
      <c r="K56"/>
      <c r="L56" s="133"/>
    </row>
    <row r="57" spans="1:12" ht="15" x14ac:dyDescent="0.25">
      <c r="A57" s="430" t="s">
        <v>310</v>
      </c>
      <c r="B57" s="431"/>
      <c r="C57" s="431"/>
      <c r="D57" s="431"/>
      <c r="E57" s="432"/>
      <c r="F57" s="248">
        <f>SUM(F47:F56)</f>
        <v>453000</v>
      </c>
      <c r="G57" s="249"/>
      <c r="H57" s="232"/>
      <c r="I57" s="232"/>
      <c r="J57" s="232"/>
      <c r="K57"/>
      <c r="L57" s="133"/>
    </row>
    <row r="58" spans="1:12" ht="15" x14ac:dyDescent="0.25">
      <c r="A58" s="237">
        <v>41</v>
      </c>
      <c r="B58" s="256" t="s">
        <v>433</v>
      </c>
      <c r="C58" s="240" t="s">
        <v>392</v>
      </c>
      <c r="D58" s="164">
        <v>1</v>
      </c>
      <c r="E58" s="253">
        <v>165000</v>
      </c>
      <c r="F58" s="253">
        <f>D58*E58</f>
        <v>165000</v>
      </c>
      <c r="G58" s="240" t="s">
        <v>377</v>
      </c>
      <c r="H58" s="232"/>
      <c r="I58" s="232"/>
      <c r="J58" s="232"/>
      <c r="K58"/>
      <c r="L58" s="133"/>
    </row>
    <row r="59" spans="1:12" ht="15" x14ac:dyDescent="0.25">
      <c r="A59" s="237">
        <v>42</v>
      </c>
      <c r="B59" s="256" t="s">
        <v>493</v>
      </c>
      <c r="C59" s="240" t="s">
        <v>299</v>
      </c>
      <c r="D59" s="164">
        <v>1</v>
      </c>
      <c r="E59" s="253">
        <v>10000</v>
      </c>
      <c r="F59" s="253">
        <f t="shared" ref="F59:F63" si="4">D59*E59</f>
        <v>10000</v>
      </c>
      <c r="G59" s="240" t="s">
        <v>377</v>
      </c>
      <c r="H59" s="232"/>
      <c r="I59" s="232"/>
      <c r="J59" s="232"/>
      <c r="K59"/>
      <c r="L59" s="133"/>
    </row>
    <row r="60" spans="1:12" ht="15" x14ac:dyDescent="0.25">
      <c r="A60" s="237">
        <v>43</v>
      </c>
      <c r="B60" s="256" t="s">
        <v>404</v>
      </c>
      <c r="C60" s="240" t="s">
        <v>299</v>
      </c>
      <c r="D60" s="164">
        <v>1</v>
      </c>
      <c r="E60" s="253">
        <v>130000</v>
      </c>
      <c r="F60" s="253">
        <f t="shared" si="4"/>
        <v>130000</v>
      </c>
      <c r="G60" s="240" t="s">
        <v>377</v>
      </c>
      <c r="H60" s="232"/>
      <c r="I60" s="232"/>
      <c r="J60" s="232"/>
      <c r="K60"/>
      <c r="L60" s="133"/>
    </row>
    <row r="61" spans="1:12" ht="15" x14ac:dyDescent="0.25">
      <c r="A61" s="237">
        <v>44</v>
      </c>
      <c r="B61" s="256" t="s">
        <v>494</v>
      </c>
      <c r="C61" s="240" t="s">
        <v>299</v>
      </c>
      <c r="D61" s="164">
        <v>1</v>
      </c>
      <c r="E61" s="253">
        <v>60000</v>
      </c>
      <c r="F61" s="253">
        <f t="shared" si="4"/>
        <v>60000</v>
      </c>
      <c r="G61" s="240" t="s">
        <v>377</v>
      </c>
      <c r="H61" s="232"/>
      <c r="I61" s="232"/>
      <c r="J61" s="232"/>
      <c r="K61"/>
      <c r="L61" s="133"/>
    </row>
    <row r="62" spans="1:12" ht="15" x14ac:dyDescent="0.25">
      <c r="A62" s="237">
        <v>45</v>
      </c>
      <c r="B62" s="256" t="s">
        <v>495</v>
      </c>
      <c r="C62" s="240" t="s">
        <v>299</v>
      </c>
      <c r="D62" s="164">
        <v>1</v>
      </c>
      <c r="E62" s="253">
        <v>7000</v>
      </c>
      <c r="F62" s="253">
        <f t="shared" si="4"/>
        <v>7000</v>
      </c>
      <c r="G62" s="240" t="s">
        <v>377</v>
      </c>
      <c r="H62" s="232"/>
      <c r="I62" s="232"/>
      <c r="J62" s="232"/>
      <c r="K62"/>
      <c r="L62" s="133"/>
    </row>
    <row r="63" spans="1:12" ht="15" x14ac:dyDescent="0.25">
      <c r="A63" s="237">
        <v>46</v>
      </c>
      <c r="B63" s="256" t="s">
        <v>496</v>
      </c>
      <c r="C63" s="240" t="s">
        <v>299</v>
      </c>
      <c r="D63" s="164">
        <v>1</v>
      </c>
      <c r="E63" s="253">
        <v>10000</v>
      </c>
      <c r="F63" s="253">
        <f t="shared" si="4"/>
        <v>10000</v>
      </c>
      <c r="G63" s="240" t="s">
        <v>377</v>
      </c>
      <c r="H63" s="232"/>
      <c r="I63" s="232"/>
      <c r="J63" s="232"/>
      <c r="K63"/>
      <c r="L63" s="133"/>
    </row>
    <row r="64" spans="1:12" ht="15" x14ac:dyDescent="0.25">
      <c r="A64" s="430" t="s">
        <v>378</v>
      </c>
      <c r="B64" s="431"/>
      <c r="C64" s="431"/>
      <c r="D64" s="431"/>
      <c r="E64" s="432"/>
      <c r="F64" s="248">
        <f>SUM(F58:F63)</f>
        <v>382000</v>
      </c>
      <c r="G64" s="249"/>
      <c r="H64" s="232"/>
      <c r="I64" s="232"/>
      <c r="J64" s="232"/>
      <c r="K64"/>
      <c r="L64" s="133"/>
    </row>
    <row r="65" spans="1:12" ht="15" x14ac:dyDescent="0.25">
      <c r="A65" s="240">
        <v>47</v>
      </c>
      <c r="B65" s="161" t="s">
        <v>433</v>
      </c>
      <c r="C65" s="164" t="s">
        <v>299</v>
      </c>
      <c r="D65" s="258">
        <v>1</v>
      </c>
      <c r="E65" s="222">
        <v>165000</v>
      </c>
      <c r="F65" s="259">
        <f t="shared" ref="F65:F70" si="5">D65*E65</f>
        <v>165000</v>
      </c>
      <c r="G65" s="264" t="s">
        <v>396</v>
      </c>
      <c r="H65" s="232"/>
      <c r="I65" s="232"/>
      <c r="J65" s="232"/>
      <c r="K65"/>
      <c r="L65" s="133"/>
    </row>
    <row r="66" spans="1:12" ht="15" x14ac:dyDescent="0.25">
      <c r="A66" s="240">
        <v>48</v>
      </c>
      <c r="B66" s="161" t="s">
        <v>497</v>
      </c>
      <c r="C66" s="164" t="s">
        <v>392</v>
      </c>
      <c r="D66" s="258">
        <v>1</v>
      </c>
      <c r="E66" s="222">
        <v>19000</v>
      </c>
      <c r="F66" s="259">
        <f t="shared" si="5"/>
        <v>19000</v>
      </c>
      <c r="G66" s="264" t="s">
        <v>396</v>
      </c>
      <c r="H66" s="232"/>
      <c r="I66" s="232"/>
      <c r="J66" s="232"/>
      <c r="K66"/>
      <c r="L66" s="133"/>
    </row>
    <row r="67" spans="1:12" ht="15" x14ac:dyDescent="0.25">
      <c r="A67" s="240">
        <v>49</v>
      </c>
      <c r="B67" s="161" t="s">
        <v>498</v>
      </c>
      <c r="C67" s="164" t="s">
        <v>392</v>
      </c>
      <c r="D67" s="258">
        <v>1</v>
      </c>
      <c r="E67" s="222">
        <v>55500</v>
      </c>
      <c r="F67" s="259">
        <f t="shared" si="5"/>
        <v>55500</v>
      </c>
      <c r="G67" s="264" t="s">
        <v>396</v>
      </c>
      <c r="H67" s="232"/>
      <c r="I67" s="232"/>
      <c r="J67" s="232"/>
      <c r="K67"/>
      <c r="L67" s="133"/>
    </row>
    <row r="68" spans="1:12" ht="15" x14ac:dyDescent="0.25">
      <c r="A68" s="240">
        <v>50</v>
      </c>
      <c r="B68" s="161" t="s">
        <v>499</v>
      </c>
      <c r="C68" s="164" t="s">
        <v>392</v>
      </c>
      <c r="D68" s="258">
        <v>1</v>
      </c>
      <c r="E68" s="222">
        <v>7000</v>
      </c>
      <c r="F68" s="259">
        <f t="shared" si="5"/>
        <v>7000</v>
      </c>
      <c r="G68" s="264" t="s">
        <v>396</v>
      </c>
      <c r="H68" s="232"/>
      <c r="I68" s="232"/>
      <c r="J68" s="232"/>
      <c r="K68"/>
      <c r="L68" s="133"/>
    </row>
    <row r="69" spans="1:12" ht="15" x14ac:dyDescent="0.25">
      <c r="A69" s="240">
        <v>51</v>
      </c>
      <c r="B69" s="161" t="s">
        <v>500</v>
      </c>
      <c r="C69" s="164" t="s">
        <v>299</v>
      </c>
      <c r="D69" s="258">
        <v>1</v>
      </c>
      <c r="E69" s="222">
        <v>3500</v>
      </c>
      <c r="F69" s="259">
        <f t="shared" si="5"/>
        <v>3500</v>
      </c>
      <c r="G69" s="264" t="s">
        <v>396</v>
      </c>
      <c r="H69" s="232"/>
      <c r="I69" s="232"/>
      <c r="J69" s="232"/>
      <c r="K69"/>
      <c r="L69" s="133"/>
    </row>
    <row r="70" spans="1:12" ht="15" x14ac:dyDescent="0.25">
      <c r="A70" s="240">
        <v>52</v>
      </c>
      <c r="B70" s="265" t="s">
        <v>514</v>
      </c>
      <c r="C70" s="164" t="s">
        <v>299</v>
      </c>
      <c r="D70" s="258">
        <v>1</v>
      </c>
      <c r="E70" s="253">
        <v>5000</v>
      </c>
      <c r="F70" s="259">
        <f t="shared" si="5"/>
        <v>5000</v>
      </c>
      <c r="G70" s="264" t="s">
        <v>396</v>
      </c>
      <c r="H70" s="232"/>
      <c r="I70" s="232"/>
      <c r="J70" s="232"/>
      <c r="K70"/>
      <c r="L70" s="133"/>
    </row>
    <row r="71" spans="1:12" ht="15" x14ac:dyDescent="0.25">
      <c r="A71" s="430" t="s">
        <v>398</v>
      </c>
      <c r="B71" s="431"/>
      <c r="C71" s="431"/>
      <c r="D71" s="431"/>
      <c r="E71" s="432"/>
      <c r="F71" s="248">
        <f>SUM(F65:F70)</f>
        <v>255000</v>
      </c>
      <c r="G71" s="249"/>
      <c r="H71" s="232"/>
      <c r="I71" s="232"/>
      <c r="J71" s="232"/>
      <c r="K71"/>
      <c r="L71" s="133"/>
    </row>
    <row r="72" spans="1:12" ht="15" x14ac:dyDescent="0.25">
      <c r="A72" s="240">
        <v>53</v>
      </c>
      <c r="B72" s="265" t="s">
        <v>301</v>
      </c>
      <c r="C72" s="240" t="s">
        <v>299</v>
      </c>
      <c r="D72" s="266">
        <v>1</v>
      </c>
      <c r="E72" s="253">
        <v>20000</v>
      </c>
      <c r="F72" s="253">
        <f t="shared" ref="F72:F77" si="6">D72*E72</f>
        <v>20000</v>
      </c>
      <c r="G72" s="240" t="s">
        <v>399</v>
      </c>
      <c r="H72" s="232"/>
      <c r="I72" s="232"/>
      <c r="J72" s="232"/>
      <c r="K72"/>
      <c r="L72" s="133"/>
    </row>
    <row r="73" spans="1:12" ht="15" x14ac:dyDescent="0.25">
      <c r="A73" s="164">
        <v>54</v>
      </c>
      <c r="B73" s="265" t="s">
        <v>501</v>
      </c>
      <c r="C73" s="240" t="s">
        <v>299</v>
      </c>
      <c r="D73" s="261">
        <v>1</v>
      </c>
      <c r="E73" s="253">
        <v>165000</v>
      </c>
      <c r="F73" s="253">
        <f t="shared" si="6"/>
        <v>165000</v>
      </c>
      <c r="G73" s="240" t="s">
        <v>399</v>
      </c>
      <c r="H73" s="232"/>
      <c r="I73" s="232"/>
      <c r="J73" s="232"/>
      <c r="K73"/>
      <c r="L73" s="133"/>
    </row>
    <row r="74" spans="1:12" ht="15" x14ac:dyDescent="0.25">
      <c r="A74" s="240">
        <v>55</v>
      </c>
      <c r="B74" s="265" t="s">
        <v>428</v>
      </c>
      <c r="C74" s="240" t="s">
        <v>299</v>
      </c>
      <c r="D74" s="266">
        <v>1</v>
      </c>
      <c r="E74" s="253">
        <v>250000</v>
      </c>
      <c r="F74" s="253">
        <f t="shared" si="6"/>
        <v>250000</v>
      </c>
      <c r="G74" s="240" t="s">
        <v>399</v>
      </c>
      <c r="H74" s="232"/>
      <c r="I74" s="232"/>
      <c r="J74" s="232"/>
      <c r="K74"/>
      <c r="L74" s="133"/>
    </row>
    <row r="75" spans="1:12" ht="15" x14ac:dyDescent="0.25">
      <c r="A75" s="164">
        <v>56</v>
      </c>
      <c r="B75" s="265" t="s">
        <v>397</v>
      </c>
      <c r="C75" s="240" t="s">
        <v>299</v>
      </c>
      <c r="D75" s="266">
        <v>1</v>
      </c>
      <c r="E75" s="253">
        <v>44000</v>
      </c>
      <c r="F75" s="253">
        <f t="shared" si="6"/>
        <v>44000</v>
      </c>
      <c r="G75" s="240" t="s">
        <v>399</v>
      </c>
      <c r="H75" s="232"/>
      <c r="I75" s="232"/>
      <c r="J75" s="232"/>
      <c r="K75"/>
      <c r="L75" s="133"/>
    </row>
    <row r="76" spans="1:12" ht="15" x14ac:dyDescent="0.25">
      <c r="A76" s="240">
        <v>57</v>
      </c>
      <c r="B76" s="265" t="s">
        <v>436</v>
      </c>
      <c r="C76" s="240" t="s">
        <v>392</v>
      </c>
      <c r="D76" s="266">
        <v>1</v>
      </c>
      <c r="E76" s="253">
        <v>40000</v>
      </c>
      <c r="F76" s="253">
        <f t="shared" si="6"/>
        <v>40000</v>
      </c>
      <c r="G76" s="240" t="s">
        <v>399</v>
      </c>
      <c r="H76" s="232"/>
      <c r="I76" s="232"/>
      <c r="J76" s="232"/>
      <c r="K76"/>
      <c r="L76" s="133"/>
    </row>
    <row r="77" spans="1:12" ht="15" x14ac:dyDescent="0.25">
      <c r="A77" s="164">
        <v>58</v>
      </c>
      <c r="B77" s="161" t="s">
        <v>502</v>
      </c>
      <c r="C77" s="164" t="s">
        <v>392</v>
      </c>
      <c r="D77" s="258">
        <v>2</v>
      </c>
      <c r="E77" s="222">
        <v>12000</v>
      </c>
      <c r="F77" s="253">
        <f t="shared" si="6"/>
        <v>24000</v>
      </c>
      <c r="G77" s="240" t="s">
        <v>399</v>
      </c>
      <c r="H77" s="232"/>
      <c r="I77" s="232"/>
      <c r="J77" s="232"/>
      <c r="K77"/>
      <c r="L77" s="133"/>
    </row>
    <row r="78" spans="1:12" ht="15" x14ac:dyDescent="0.25">
      <c r="A78" s="433" t="s">
        <v>400</v>
      </c>
      <c r="B78" s="434"/>
      <c r="C78" s="434"/>
      <c r="D78" s="434"/>
      <c r="E78" s="435"/>
      <c r="F78" s="248">
        <f>SUM(F72:F77)</f>
        <v>543000</v>
      </c>
      <c r="G78" s="249"/>
      <c r="H78" s="232"/>
      <c r="I78" s="232"/>
      <c r="J78" s="232"/>
      <c r="K78"/>
      <c r="L78" s="133"/>
    </row>
    <row r="79" spans="1:12" ht="15" x14ac:dyDescent="0.25">
      <c r="A79" s="250">
        <v>59</v>
      </c>
      <c r="B79" s="221" t="s">
        <v>503</v>
      </c>
      <c r="C79" s="164" t="s">
        <v>299</v>
      </c>
      <c r="D79" s="160">
        <v>2</v>
      </c>
      <c r="E79" s="223">
        <v>13500</v>
      </c>
      <c r="F79" s="259">
        <f>D79*E79</f>
        <v>27000</v>
      </c>
      <c r="G79" s="164" t="s">
        <v>512</v>
      </c>
      <c r="H79" s="232"/>
      <c r="I79" s="232"/>
      <c r="J79" s="232"/>
      <c r="K79"/>
      <c r="L79" s="133"/>
    </row>
    <row r="80" spans="1:12" ht="15" x14ac:dyDescent="0.25">
      <c r="A80" s="250">
        <v>60</v>
      </c>
      <c r="B80" s="221" t="s">
        <v>504</v>
      </c>
      <c r="C80" s="164" t="s">
        <v>299</v>
      </c>
      <c r="D80" s="160">
        <v>3</v>
      </c>
      <c r="E80" s="223">
        <v>5800</v>
      </c>
      <c r="F80" s="259">
        <f>D80*E80</f>
        <v>17400</v>
      </c>
      <c r="G80" s="240" t="s">
        <v>391</v>
      </c>
      <c r="H80" s="232"/>
      <c r="I80" s="232"/>
      <c r="J80" s="232"/>
      <c r="K80"/>
      <c r="L80" s="133"/>
    </row>
    <row r="81" spans="1:12" ht="30" x14ac:dyDescent="0.25">
      <c r="A81" s="250">
        <v>61</v>
      </c>
      <c r="B81" s="238" t="s">
        <v>505</v>
      </c>
      <c r="C81" s="240"/>
      <c r="D81" s="267"/>
      <c r="E81" s="223">
        <v>1000000</v>
      </c>
      <c r="F81" s="268">
        <f>E81</f>
        <v>1000000</v>
      </c>
      <c r="G81" s="240" t="s">
        <v>391</v>
      </c>
      <c r="H81" s="269"/>
      <c r="I81" s="232"/>
      <c r="J81" s="232"/>
      <c r="K81"/>
      <c r="L81" s="133"/>
    </row>
    <row r="82" spans="1:12" ht="15" x14ac:dyDescent="0.25">
      <c r="A82" s="250">
        <v>62</v>
      </c>
      <c r="B82" s="238" t="s">
        <v>506</v>
      </c>
      <c r="C82" s="240" t="s">
        <v>507</v>
      </c>
      <c r="D82" s="267">
        <v>1</v>
      </c>
      <c r="E82" s="223">
        <v>180000</v>
      </c>
      <c r="F82" s="268">
        <f>D82*E82</f>
        <v>180000</v>
      </c>
      <c r="G82" s="240" t="s">
        <v>391</v>
      </c>
      <c r="H82"/>
      <c r="I82" s="232"/>
      <c r="J82" s="232"/>
      <c r="K82"/>
      <c r="L82" s="133"/>
    </row>
    <row r="83" spans="1:12" ht="15" x14ac:dyDescent="0.25">
      <c r="A83" s="250">
        <v>63</v>
      </c>
      <c r="B83" s="161" t="s">
        <v>433</v>
      </c>
      <c r="C83" s="240" t="s">
        <v>299</v>
      </c>
      <c r="D83" s="267">
        <v>7</v>
      </c>
      <c r="E83" s="223">
        <v>160000</v>
      </c>
      <c r="F83" s="268">
        <f>D83*E83</f>
        <v>1120000</v>
      </c>
      <c r="G83" s="240" t="s">
        <v>520</v>
      </c>
      <c r="H83" s="254"/>
      <c r="I83" s="254"/>
      <c r="J83" s="254"/>
      <c r="K83" s="255"/>
      <c r="L83" s="133"/>
    </row>
    <row r="84" spans="1:12" ht="30" x14ac:dyDescent="0.25">
      <c r="A84" s="250">
        <v>64</v>
      </c>
      <c r="B84" s="221" t="s">
        <v>508</v>
      </c>
      <c r="C84" s="164" t="s">
        <v>299</v>
      </c>
      <c r="D84" s="160">
        <v>1</v>
      </c>
      <c r="E84" s="223">
        <v>5000</v>
      </c>
      <c r="F84" s="259">
        <v>5000</v>
      </c>
      <c r="G84" s="164" t="s">
        <v>509</v>
      </c>
      <c r="H84" s="232"/>
      <c r="I84" s="232"/>
      <c r="J84" s="232"/>
      <c r="K84"/>
      <c r="L84" s="133"/>
    </row>
    <row r="85" spans="1:12" ht="15" x14ac:dyDescent="0.25">
      <c r="A85" s="250">
        <v>65</v>
      </c>
      <c r="B85" s="238" t="s">
        <v>380</v>
      </c>
      <c r="C85" s="240" t="s">
        <v>299</v>
      </c>
      <c r="D85" s="160">
        <v>10</v>
      </c>
      <c r="E85" s="223">
        <v>5000</v>
      </c>
      <c r="F85" s="259">
        <f>D85*E85</f>
        <v>50000</v>
      </c>
      <c r="G85" s="164" t="s">
        <v>391</v>
      </c>
      <c r="H85" s="232"/>
      <c r="I85" s="232"/>
      <c r="J85" s="232"/>
      <c r="K85"/>
      <c r="L85" s="133"/>
    </row>
    <row r="86" spans="1:12" ht="15" x14ac:dyDescent="0.25">
      <c r="A86" s="250">
        <v>66</v>
      </c>
      <c r="B86" s="238" t="s">
        <v>434</v>
      </c>
      <c r="C86" s="240" t="s">
        <v>299</v>
      </c>
      <c r="D86" s="160">
        <v>2</v>
      </c>
      <c r="E86" s="223">
        <v>7500</v>
      </c>
      <c r="F86" s="259">
        <f>D86*E86</f>
        <v>15000</v>
      </c>
      <c r="G86" s="164" t="s">
        <v>391</v>
      </c>
      <c r="H86" s="232"/>
      <c r="I86" s="232"/>
      <c r="J86" s="232"/>
      <c r="K86"/>
      <c r="L86" s="133"/>
    </row>
    <row r="87" spans="1:12" ht="30" x14ac:dyDescent="0.25">
      <c r="A87" s="250">
        <v>67</v>
      </c>
      <c r="B87" s="265" t="s">
        <v>429</v>
      </c>
      <c r="C87" s="240" t="s">
        <v>299</v>
      </c>
      <c r="D87" s="267">
        <v>2</v>
      </c>
      <c r="E87" s="223">
        <v>20000</v>
      </c>
      <c r="F87" s="268">
        <f>D87*E87</f>
        <v>40000</v>
      </c>
      <c r="G87" s="240" t="s">
        <v>509</v>
      </c>
      <c r="H87" s="232"/>
      <c r="I87" s="232"/>
      <c r="J87" s="232"/>
      <c r="K87"/>
      <c r="L87" s="133"/>
    </row>
    <row r="88" spans="1:12" ht="15" x14ac:dyDescent="0.25">
      <c r="A88" s="433" t="s">
        <v>379</v>
      </c>
      <c r="B88" s="434"/>
      <c r="C88" s="434"/>
      <c r="D88" s="434"/>
      <c r="E88" s="435"/>
      <c r="F88" s="270">
        <f>SUM(F79:F87)</f>
        <v>2454400</v>
      </c>
      <c r="G88" s="271"/>
      <c r="H88" s="232"/>
      <c r="I88" s="232"/>
      <c r="J88" s="232"/>
      <c r="K88"/>
      <c r="L88" s="133"/>
    </row>
    <row r="89" spans="1:12" ht="15" x14ac:dyDescent="0.25">
      <c r="A89" s="433" t="s">
        <v>402</v>
      </c>
      <c r="B89" s="434"/>
      <c r="C89" s="434"/>
      <c r="D89" s="434"/>
      <c r="E89" s="435"/>
      <c r="F89" s="270">
        <f>F18+F46+F57+F64+F71+F78+F88</f>
        <v>6504000</v>
      </c>
      <c r="G89" s="271"/>
      <c r="H89" s="232"/>
      <c r="I89" s="232"/>
      <c r="J89" s="232"/>
      <c r="K89"/>
      <c r="L89" s="133"/>
    </row>
    <row r="90" spans="1:12" ht="15" x14ac:dyDescent="0.25">
      <c r="A90" s="133"/>
      <c r="B90" s="133"/>
      <c r="C90" s="133"/>
      <c r="D90" s="133"/>
      <c r="E90" s="133"/>
      <c r="F90" s="133"/>
      <c r="G90" s="133"/>
      <c r="H90" s="232"/>
      <c r="I90" s="232"/>
      <c r="J90" s="232"/>
      <c r="K90"/>
      <c r="L90" s="133"/>
    </row>
    <row r="91" spans="1:12" ht="15" x14ac:dyDescent="0.25">
      <c r="A91" s="171"/>
      <c r="B91" s="170" t="s">
        <v>403</v>
      </c>
      <c r="C91" s="163"/>
      <c r="D91" s="438" t="s">
        <v>408</v>
      </c>
      <c r="E91" s="438"/>
      <c r="F91" s="438"/>
      <c r="G91" s="171"/>
      <c r="H91" s="232"/>
      <c r="I91" s="232"/>
      <c r="J91" s="232"/>
      <c r="K91"/>
      <c r="L91" s="133"/>
    </row>
    <row r="92" spans="1:12" ht="15" x14ac:dyDescent="0.25">
      <c r="A92" s="170"/>
      <c r="B92" s="136" t="s">
        <v>232</v>
      </c>
      <c r="C92" s="83"/>
      <c r="D92" s="438" t="s">
        <v>308</v>
      </c>
      <c r="E92" s="438"/>
      <c r="F92" s="438"/>
      <c r="G92" s="170"/>
      <c r="H92" s="232"/>
      <c r="I92" s="232"/>
      <c r="J92" s="232"/>
      <c r="K92"/>
      <c r="L92" s="133"/>
    </row>
    <row r="93" spans="1:12" ht="15" x14ac:dyDescent="0.2">
      <c r="A93" s="224"/>
      <c r="B93" s="225"/>
      <c r="C93" s="226"/>
      <c r="D93" s="134"/>
      <c r="E93" s="227"/>
      <c r="F93" s="196"/>
      <c r="G93" s="224"/>
    </row>
    <row r="94" spans="1:12" ht="15" x14ac:dyDescent="0.2">
      <c r="A94" s="226"/>
      <c r="B94" s="228"/>
      <c r="C94" s="226"/>
      <c r="D94" s="229"/>
      <c r="E94" s="227"/>
      <c r="F94" s="230"/>
      <c r="G94" s="226"/>
    </row>
    <row r="95" spans="1:12" ht="15" x14ac:dyDescent="0.2">
      <c r="A95" s="440" t="s">
        <v>522</v>
      </c>
      <c r="B95" s="440"/>
      <c r="C95" s="440"/>
      <c r="D95" s="440"/>
      <c r="E95" s="440"/>
      <c r="F95" s="231"/>
      <c r="G95" s="229" t="s">
        <v>523</v>
      </c>
    </row>
    <row r="96" spans="1:12" ht="15" x14ac:dyDescent="0.2">
      <c r="A96" s="440"/>
      <c r="B96" s="440"/>
      <c r="C96" s="440"/>
      <c r="D96" s="440"/>
      <c r="E96" s="440"/>
      <c r="F96" s="231"/>
      <c r="G96" s="229"/>
    </row>
    <row r="97" spans="1:7" ht="15" x14ac:dyDescent="0.25">
      <c r="A97" s="133"/>
      <c r="B97" s="133"/>
      <c r="C97" s="133"/>
      <c r="D97" s="133"/>
      <c r="E97" s="133"/>
      <c r="F97" s="133"/>
      <c r="G97" s="133"/>
    </row>
    <row r="98" spans="1:7" ht="12.75" customHeight="1" x14ac:dyDescent="0.2">
      <c r="A98" s="169"/>
      <c r="B98" s="170"/>
      <c r="C98" s="163"/>
      <c r="D98" s="438"/>
      <c r="E98" s="438"/>
      <c r="F98" s="438"/>
      <c r="G98" s="171"/>
    </row>
    <row r="99" spans="1:7" ht="15" x14ac:dyDescent="0.2">
      <c r="A99" s="172"/>
      <c r="B99" s="136"/>
      <c r="C99" s="83"/>
      <c r="D99" s="438"/>
      <c r="E99" s="438"/>
      <c r="F99" s="438"/>
      <c r="G99" s="170"/>
    </row>
    <row r="100" spans="1:7" x14ac:dyDescent="0.2">
      <c r="A100" s="439"/>
      <c r="B100" s="439"/>
      <c r="C100" s="439"/>
      <c r="D100" s="439"/>
      <c r="E100" s="439"/>
      <c r="F100" s="439"/>
      <c r="G100" s="439"/>
    </row>
  </sheetData>
  <sheetProtection selectLockedCells="1" selectUnlockedCells="1"/>
  <mergeCells count="20">
    <mergeCell ref="A46:E46"/>
    <mergeCell ref="D98:F98"/>
    <mergeCell ref="A100:G100"/>
    <mergeCell ref="D99:F99"/>
    <mergeCell ref="A95:E95"/>
    <mergeCell ref="A96:E96"/>
    <mergeCell ref="A88:E88"/>
    <mergeCell ref="A89:E89"/>
    <mergeCell ref="D91:F91"/>
    <mergeCell ref="D92:F92"/>
    <mergeCell ref="C2:F6"/>
    <mergeCell ref="A9:G9"/>
    <mergeCell ref="A18:E18"/>
    <mergeCell ref="A33:E33"/>
    <mergeCell ref="A45:E45"/>
    <mergeCell ref="H48:I48"/>
    <mergeCell ref="A57:E57"/>
    <mergeCell ref="A64:E64"/>
    <mergeCell ref="A71:E71"/>
    <mergeCell ref="A78:E78"/>
  </mergeCells>
  <printOptions horizontalCentered="1"/>
  <pageMargins left="0.60416666699999999" right="0" top="0.35" bottom="0.32986111099999998" header="0" footer="0"/>
  <pageSetup paperSize="9" firstPageNumber="0" fitToHeight="0" orientation="portrait" r:id="rId1"/>
  <headerFooter alignWithMargins="0">
    <oddFooter>&amp;C&amp;8Pagina &amp;P din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BVC 2023 sintetic (A1)</vt:lpstr>
      <vt:lpstr>BVC 2023 analitic (A2)</vt:lpstr>
      <vt:lpstr>Anexa 3 VT</vt:lpstr>
      <vt:lpstr>Anexa 4 INV</vt:lpstr>
      <vt:lpstr>Anexa 5</vt:lpstr>
      <vt:lpstr>Anexa 6 INV SP</vt:lpstr>
      <vt:lpstr>'Anexa 3 VT'!Print_Area</vt:lpstr>
      <vt:lpstr>'Anexa 4 INV'!Print_Area</vt:lpstr>
      <vt:lpstr>'Anexa 5'!Print_Area</vt:lpstr>
      <vt:lpstr>'Anexa 6 INV SP'!Print_Area</vt:lpstr>
      <vt:lpstr>'BVC 2023 analitic (A2)'!Print_Area</vt:lpstr>
      <vt:lpstr>'BVC 2023 sintetic (A1)'!Print_Area</vt:lpstr>
      <vt:lpstr>'Anexa 6 INV SP'!Print_Titles</vt:lpstr>
      <vt:lpstr>'BVC 2023 analitic (A2)'!Print_Titles</vt:lpstr>
      <vt:lpstr>'BVC 2023 sintetic (A1)'!Print_Titles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darius.bor</dc:creator>
  <cp:lastModifiedBy>Loredana Giurgiu</cp:lastModifiedBy>
  <cp:lastPrinted>2023-02-14T10:00:02Z</cp:lastPrinted>
  <dcterms:created xsi:type="dcterms:W3CDTF">2018-01-25T08:57:03Z</dcterms:created>
  <dcterms:modified xsi:type="dcterms:W3CDTF">2023-02-20T10:14:49Z</dcterms:modified>
</cp:coreProperties>
</file>