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5195" windowHeight="11580" activeTab="0"/>
  </bookViews>
  <sheets>
    <sheet name=" rectificare mai 2018" sheetId="1" r:id="rId1"/>
    <sheet name="Sheet1" sheetId="2" r:id="rId2"/>
  </sheets>
  <definedNames>
    <definedName name="_xlnm.Print_Area" localSheetId="0">' rectificare mai 2018'!$B$2:$V$215</definedName>
  </definedNames>
  <calcPr fullCalcOnLoad="1"/>
</workbook>
</file>

<file path=xl/sharedStrings.xml><?xml version="1.0" encoding="utf-8"?>
<sst xmlns="http://schemas.openxmlformats.org/spreadsheetml/2006/main" count="235" uniqueCount="174">
  <si>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</si>
  <si>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</si>
  <si>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</si>
  <si>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</si>
  <si>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</si>
  <si>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</si>
  <si>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</si>
  <si>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</si>
  <si>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</si>
  <si>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</si>
  <si>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</si>
  <si>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</si>
  <si>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</si>
  <si>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</si>
  <si>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</si>
  <si>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</si>
  <si>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</si>
  <si>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</si>
  <si>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</si>
  <si>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</si>
  <si>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</si>
  <si>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</si>
  <si>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</si>
  <si>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</si>
  <si>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</si>
  <si>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</si>
  <si>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</si>
  <si>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</si>
  <si>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</si>
  <si>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</si>
  <si>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</si>
  <si>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</si>
  <si>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</si>
  <si>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</si>
  <si>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</si>
  <si>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</si>
  <si>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</si>
  <si>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</si>
  <si>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</si>
  <si>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</si>
  <si>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</si>
  <si>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</si>
  <si>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</si>
  <si>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</si>
  <si>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</si>
  <si>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</si>
  <si>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</si>
  <si>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</si>
  <si>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</si>
  <si>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</si>
  <si>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</si>
  <si>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</si>
  <si>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</si>
  <si>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</si>
  <si>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</si>
  <si>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</si>
  <si>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</si>
  <si>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</si>
  <si>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</si>
  <si>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</si>
  <si>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</si>
  <si>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</si>
  <si>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</si>
  <si>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</si>
  <si>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</si>
  <si>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</si>
  <si>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</si>
  <si>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</si>
  <si>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</si>
  <si>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</si>
  <si>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</si>
  <si>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</si>
  <si>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</si>
  <si>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</si>
  <si>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>Subv. BS la BL pt. Fin. FEN</t>
  </si>
  <si>
    <t>alte cheltuieli transferuri SPAS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</si>
  <si>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</si>
  <si>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</si>
  <si>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</si>
  <si>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</si>
  <si>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</si>
  <si>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</si>
  <si>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</si>
  <si>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</si>
  <si>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</si>
  <si>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</si>
  <si>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</si>
  <si>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</si>
  <si>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</si>
  <si>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</si>
  <si>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</si>
  <si>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</si>
  <si>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</si>
  <si>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</si>
  <si>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</si>
  <si>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Sume defalcate pt. echilibrare -040400-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</si>
  <si>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</si>
  <si>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</si>
  <si>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</si>
  <si>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</si>
  <si>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</si>
  <si>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</si>
  <si>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</si>
  <si>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</si>
  <si>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Taxe hoteliere-120700-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</si>
  <si>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</si>
  <si>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</si>
  <si>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</si>
  <si>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</si>
  <si>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</si>
  <si>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</si>
  <si>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</si>
  <si>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</si>
  <si>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</si>
  <si>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</si>
  <si>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</si>
  <si>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</si>
  <si>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</si>
  <si>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</si>
  <si>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</si>
  <si>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</si>
  <si>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</si>
  <si>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</si>
  <si>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</si>
  <si>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</si>
  <si>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</si>
  <si>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</si>
  <si>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</si>
  <si>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</si>
  <si>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</si>
  <si>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cu bunuri si servicii Primaria SM</t>
  </si>
  <si>
    <t>Cheltuieli privind alegerile</t>
  </si>
  <si>
    <t xml:space="preserve">                        PRIMAR                                              DIRECTOR EXECUTIV                       SEF SERVICIU BUGET                       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</si>
  <si>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</si>
  <si>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</si>
  <si>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</si>
  <si>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</si>
  <si>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>Venituri din exploatarea fondului forestier</t>
  </si>
  <si>
    <t>asistenta sociala</t>
  </si>
  <si>
    <t>transferuri intre unitati ale administratiei 
publice</t>
  </si>
  <si>
    <t xml:space="preserve">BUGET 2016
</t>
  </si>
  <si>
    <t>PLATI RESTANTE</t>
  </si>
  <si>
    <t>Subventii de la alte administratii 4330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</si>
  <si>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</si>
  <si>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</si>
  <si>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</si>
  <si>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</si>
  <si>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</si>
  <si>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</si>
  <si>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</si>
  <si>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 xml:space="preserve">            KERESKÉNYI GÁBOR                                      EC. LUCIA URSU                            EC. BORBEI TEREZIA</t>
  </si>
  <si>
    <t>REALIZARI LA DATA DE 29.11.2017</t>
  </si>
  <si>
    <t>diferente fata 
de realizat</t>
  </si>
  <si>
    <t xml:space="preserve">Sume fond handicap </t>
  </si>
  <si>
    <t>% 2018
 fata de realizat 2017</t>
  </si>
  <si>
    <t>VENITURI</t>
  </si>
  <si>
    <t>alte transferuri</t>
  </si>
  <si>
    <t>fond rezerva</t>
  </si>
  <si>
    <t xml:space="preserve">                                                                          SATU MARE PE ANUL 2018- SECŢIUNEA DE FUNCŢIONARE</t>
  </si>
  <si>
    <t>Alte transferuri</t>
  </si>
  <si>
    <t>Cheltuieli fond handicap</t>
  </si>
  <si>
    <t>INFLUENTE 
+/-</t>
  </si>
  <si>
    <t>BUGET INITIAL</t>
  </si>
  <si>
    <t>BUGET 
RECTIFICAT</t>
  </si>
  <si>
    <t>% REALIZARE</t>
  </si>
  <si>
    <t>Sume primite din bugetul consiliului judetean pt invatamant-4323-</t>
  </si>
  <si>
    <t>sume alocate din TVA invatamant privat 11.02.09</t>
  </si>
  <si>
    <t>Transferuri-finantare liceu particular</t>
  </si>
  <si>
    <t>REALIZARI  LA 22.05.2018</t>
  </si>
  <si>
    <t>Anexa 1 la H.C.L. nr. 117/31.05.2018</t>
  </si>
  <si>
    <t>PREŞEDINTE DE ŞEDINŢĂ,</t>
  </si>
  <si>
    <t>SECRETAR</t>
  </si>
  <si>
    <t>ARDELEAN OCTAVIAN IULIAN</t>
  </si>
  <si>
    <t>MIHAELA MARIA RACOLŢA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</si>
</sst>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lei&quot;"/>
    <numFmt numFmtId="181" formatCode="#,##0.00\ _l_e_i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57" applyFont="1" applyBorder="1">
      <alignment/>
      <protection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6" fillId="0" borderId="11" xfId="57" applyFont="1" applyFill="1" applyBorder="1">
      <alignment/>
      <protection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 applyBorder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57" applyFont="1" applyBorder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 applyAlignment="1">
      <alignment/>
      <protection/>
    </xf>
    <xf numFmtId="0" fontId="3" fillId="0" borderId="11" xfId="57" applyFont="1" applyBorder="1">
      <alignment/>
      <protection/>
    </xf>
    <xf numFmtId="0" fontId="3" fillId="0" borderId="11" xfId="0" applyFont="1" applyFill="1" applyBorder="1" applyAlignment="1">
      <alignment/>
    </xf>
    <xf numFmtId="0" fontId="3" fillId="0" borderId="11" xfId="57" applyFont="1" applyFill="1" applyBorder="1" applyAlignment="1">
      <alignment wrapText="1"/>
      <protection/>
    </xf>
    <xf numFmtId="181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0" xfId="0" applyNumberFormat="1" applyFont="1" applyFill="1" applyBorder="1" applyAlignment="1">
      <alignment/>
    </xf>
    <xf numFmtId="4" fontId="4" fillId="3" borderId="1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>
      <alignment/>
      <protection/>
    </xf>
    <xf numFmtId="3" fontId="0" fillId="0" borderId="0" xfId="0" applyNumberFormat="1" applyFont="1" applyAlignment="1">
      <alignment/>
    </xf>
    <xf numFmtId="0" fontId="0" fillId="0" borderId="11" xfId="57" applyFont="1" applyBorder="1" applyAlignment="1">
      <alignment wrapText="1"/>
      <protection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3" fontId="5" fillId="35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3" fontId="4" fillId="35" borderId="11" xfId="0" applyNumberFormat="1" applyFont="1" applyFill="1" applyBorder="1" applyAlignment="1">
      <alignment horizontal="center" wrapText="1"/>
    </xf>
    <xf numFmtId="49" fontId="4" fillId="35" borderId="11" xfId="0" applyNumberFormat="1" applyFont="1" applyFill="1" applyBorder="1" applyAlignment="1">
      <alignment horizontal="center"/>
    </xf>
    <xf numFmtId="4" fontId="4" fillId="35" borderId="11" xfId="0" applyNumberFormat="1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3" fillId="3" borderId="11" xfId="57" applyFont="1" applyFill="1" applyBorder="1" applyAlignment="1">
      <alignment wrapText="1"/>
      <protection/>
    </xf>
    <xf numFmtId="181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1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3" fontId="4" fillId="0" borderId="11" xfId="0" applyNumberFormat="1" applyFont="1" applyBorder="1" applyAlignment="1">
      <alignment/>
    </xf>
    <xf numFmtId="3" fontId="4" fillId="32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3" borderId="11" xfId="0" applyNumberFormat="1" applyFont="1" applyFill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4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4" fillId="35" borderId="13" xfId="0" applyNumberFormat="1" applyFont="1" applyFill="1" applyBorder="1" applyAlignment="1">
      <alignment horizontal="center" wrapText="1"/>
    </xf>
    <xf numFmtId="49" fontId="4" fillId="35" borderId="13" xfId="0" applyNumberFormat="1" applyFont="1" applyFill="1" applyBorder="1" applyAlignment="1">
      <alignment horizontal="center"/>
    </xf>
    <xf numFmtId="4" fontId="4" fillId="35" borderId="13" xfId="0" applyNumberFormat="1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3" fontId="4" fillId="35" borderId="14" xfId="0" applyNumberFormat="1" applyFont="1" applyFill="1" applyBorder="1" applyAlignment="1">
      <alignment horizontal="center" wrapText="1"/>
    </xf>
    <xf numFmtId="0" fontId="11" fillId="35" borderId="15" xfId="57" applyFont="1" applyFill="1" applyBorder="1" applyAlignment="1">
      <alignment horizontal="center"/>
      <protection/>
    </xf>
    <xf numFmtId="0" fontId="4" fillId="35" borderId="16" xfId="0" applyFont="1" applyFill="1" applyBorder="1" applyAlignment="1">
      <alignment horizontal="center" wrapText="1"/>
    </xf>
    <xf numFmtId="3" fontId="10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11" fillId="35" borderId="15" xfId="0" applyNumberFormat="1" applyFont="1" applyFill="1" applyBorder="1" applyAlignment="1">
      <alignment horizontal="center" wrapText="1"/>
    </xf>
    <xf numFmtId="0" fontId="11" fillId="35" borderId="17" xfId="0" applyNumberFormat="1" applyFont="1" applyFill="1" applyBorder="1" applyAlignment="1">
      <alignment horizontal="center" wrapText="1"/>
    </xf>
    <xf numFmtId="4" fontId="11" fillId="35" borderId="15" xfId="0" applyNumberFormat="1" applyFont="1" applyFill="1" applyBorder="1" applyAlignment="1">
      <alignment horizontal="center" wrapText="1"/>
    </xf>
    <xf numFmtId="0" fontId="11" fillId="35" borderId="15" xfId="0" applyFont="1" applyFill="1" applyBorder="1" applyAlignment="1">
      <alignment horizontal="center" wrapText="1"/>
    </xf>
    <xf numFmtId="4" fontId="11" fillId="35" borderId="15" xfId="0" applyNumberFormat="1" applyFont="1" applyFill="1" applyBorder="1" applyAlignment="1">
      <alignment wrapText="1"/>
    </xf>
    <xf numFmtId="0" fontId="11" fillId="35" borderId="18" xfId="0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3" fontId="4" fillId="35" borderId="19" xfId="0" applyNumberFormat="1" applyFont="1" applyFill="1" applyBorder="1" applyAlignment="1">
      <alignment horizontal="center" wrapText="1"/>
    </xf>
    <xf numFmtId="0" fontId="5" fillId="35" borderId="12" xfId="57" applyFont="1" applyFill="1" applyBorder="1" applyAlignment="1">
      <alignment horizontal="center"/>
      <protection/>
    </xf>
    <xf numFmtId="0" fontId="4" fillId="35" borderId="15" xfId="57" applyFont="1" applyFill="1" applyBorder="1" applyAlignment="1">
      <alignment horizontal="center"/>
      <protection/>
    </xf>
    <xf numFmtId="4" fontId="4" fillId="0" borderId="11" xfId="0" applyNumberFormat="1" applyFont="1" applyBorder="1" applyAlignment="1">
      <alignment/>
    </xf>
    <xf numFmtId="4" fontId="4" fillId="3" borderId="11" xfId="0" applyNumberFormat="1" applyFont="1" applyFill="1" applyBorder="1" applyAlignment="1">
      <alignment/>
    </xf>
    <xf numFmtId="4" fontId="4" fillId="32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Fill="1" applyBorder="1">
      <alignment/>
      <protection/>
    </xf>
    <xf numFmtId="4" fontId="11" fillId="35" borderId="15" xfId="0" applyNumberFormat="1" applyFont="1" applyFill="1" applyBorder="1" applyAlignment="1">
      <alignment horizontal="center" wrapText="1"/>
    </xf>
    <xf numFmtId="3" fontId="4" fillId="32" borderId="12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47" fillId="0" borderId="11" xfId="0" applyNumberFormat="1" applyFont="1" applyBorder="1" applyAlignment="1">
      <alignment/>
    </xf>
    <xf numFmtId="3" fontId="47" fillId="33" borderId="11" xfId="0" applyNumberFormat="1" applyFont="1" applyFill="1" applyBorder="1" applyAlignment="1">
      <alignment/>
    </xf>
    <xf numFmtId="3" fontId="48" fillId="33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35" borderId="0" xfId="57" applyFont="1" applyFill="1" applyBorder="1" applyAlignment="1">
      <alignment horizontal="center"/>
      <protection/>
    </xf>
    <xf numFmtId="3" fontId="5" fillId="35" borderId="0" xfId="0" applyNumberFormat="1" applyFont="1" applyFill="1" applyBorder="1" applyAlignment="1">
      <alignment/>
    </xf>
    <xf numFmtId="4" fontId="5" fillId="35" borderId="0" xfId="0" applyNumberFormat="1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37"/>
  <sheetViews>
    <sheetView tabSelected="1" zoomScaleSheetLayoutView="100" zoomScalePageLayoutView="0" workbookViewId="0" topLeftCell="A189">
      <selection activeCell="B215" sqref="B215"/>
    </sheetView>
  </sheetViews>
  <sheetFormatPr defaultColWidth="9.140625" defaultRowHeight="12.75"/>
  <cols>
    <col min="1" max="1" width="2.28125" style="57" customWidth="1"/>
    <col min="2" max="2" width="49.8515625" style="57" customWidth="1"/>
    <col min="3" max="3" width="18.7109375" style="57" hidden="1" customWidth="1"/>
    <col min="4" max="4" width="18.7109375" style="67" hidden="1" customWidth="1"/>
    <col min="5" max="5" width="0.13671875" style="61" hidden="1" customWidth="1"/>
    <col min="6" max="6" width="0.13671875" style="56" hidden="1" customWidth="1"/>
    <col min="7" max="7" width="11.57421875" style="56" hidden="1" customWidth="1"/>
    <col min="8" max="8" width="14.28125" style="56" hidden="1" customWidth="1"/>
    <col min="9" max="9" width="2.57421875" style="55" hidden="1" customWidth="1"/>
    <col min="10" max="10" width="0.42578125" style="55" hidden="1" customWidth="1"/>
    <col min="11" max="11" width="9.421875" style="55" hidden="1" customWidth="1"/>
    <col min="12" max="12" width="0.42578125" style="55" hidden="1" customWidth="1"/>
    <col min="13" max="15" width="20.7109375" style="56" customWidth="1"/>
    <col min="16" max="16" width="16.57421875" style="56" customWidth="1"/>
    <col min="17" max="17" width="0.13671875" style="56" hidden="1" customWidth="1"/>
    <col min="18" max="18" width="22.00390625" style="98" customWidth="1"/>
    <col min="19" max="19" width="12.421875" style="56" hidden="1" customWidth="1"/>
    <col min="20" max="20" width="0.2890625" style="57" customWidth="1"/>
    <col min="21" max="21" width="10.7109375" style="57" bestFit="1" customWidth="1"/>
    <col min="22" max="16384" width="9.140625" style="57" customWidth="1"/>
  </cols>
  <sheetData>
    <row r="2" spans="2:8" ht="15.75" customHeight="1">
      <c r="B2" s="132" t="s">
        <v>76</v>
      </c>
      <c r="C2" s="53"/>
      <c r="D2" s="51"/>
      <c r="E2" s="2"/>
      <c r="F2" s="54"/>
      <c r="G2" s="54"/>
      <c r="H2" s="54"/>
    </row>
    <row r="3" spans="2:8" ht="15" customHeight="1">
      <c r="B3" s="132" t="s">
        <v>158</v>
      </c>
      <c r="C3" s="53"/>
      <c r="D3" s="51"/>
      <c r="E3" s="2"/>
      <c r="F3" s="54"/>
      <c r="G3" s="54"/>
      <c r="H3" s="54"/>
    </row>
    <row r="4" spans="2:8" ht="15" customHeight="1">
      <c r="B4" s="1"/>
      <c r="C4" s="53"/>
      <c r="D4" s="51"/>
      <c r="E4" s="2"/>
      <c r="F4" s="54"/>
      <c r="G4" s="54"/>
      <c r="H4" s="54"/>
    </row>
    <row r="5" spans="2:14" ht="15" customHeight="1" thickBot="1">
      <c r="B5" s="1"/>
      <c r="C5" s="53"/>
      <c r="D5" s="51"/>
      <c r="E5" s="2"/>
      <c r="F5" s="54"/>
      <c r="G5" s="54"/>
      <c r="H5" s="54"/>
      <c r="N5" s="34" t="s">
        <v>169</v>
      </c>
    </row>
    <row r="6" spans="2:20" ht="71.25" customHeight="1" thickBot="1">
      <c r="B6" s="95" t="s">
        <v>155</v>
      </c>
      <c r="C6" s="94" t="s">
        <v>140</v>
      </c>
      <c r="D6" s="90" t="s">
        <v>145</v>
      </c>
      <c r="E6" s="91" t="s">
        <v>86</v>
      </c>
      <c r="F6" s="92" t="s">
        <v>127</v>
      </c>
      <c r="G6" s="92" t="s">
        <v>86</v>
      </c>
      <c r="H6" s="92"/>
      <c r="I6" s="93" t="s">
        <v>147</v>
      </c>
      <c r="J6" s="93" t="s">
        <v>151</v>
      </c>
      <c r="K6" s="93" t="s">
        <v>86</v>
      </c>
      <c r="L6" s="96" t="s">
        <v>148</v>
      </c>
      <c r="M6" s="99" t="s">
        <v>162</v>
      </c>
      <c r="N6" s="99" t="s">
        <v>168</v>
      </c>
      <c r="O6" s="99" t="s">
        <v>164</v>
      </c>
      <c r="P6" s="115" t="s">
        <v>161</v>
      </c>
      <c r="Q6" s="100"/>
      <c r="R6" s="99" t="s">
        <v>163</v>
      </c>
      <c r="S6" s="101" t="s">
        <v>154</v>
      </c>
      <c r="T6" s="102" t="s">
        <v>152</v>
      </c>
    </row>
    <row r="7" spans="2:20" ht="15.75">
      <c r="B7" s="87" t="s">
        <v>52</v>
      </c>
      <c r="C7" s="4"/>
      <c r="D7" s="4"/>
      <c r="E7" s="88"/>
      <c r="F7" s="5"/>
      <c r="G7" s="5"/>
      <c r="H7" s="5"/>
      <c r="I7" s="4"/>
      <c r="J7" s="4"/>
      <c r="K7" s="4"/>
      <c r="L7" s="4"/>
      <c r="M7" s="5">
        <f>600000+1000000</f>
        <v>1600000</v>
      </c>
      <c r="N7" s="88">
        <v>637482</v>
      </c>
      <c r="O7" s="88">
        <f>N7/M7</f>
        <v>0.39842625</v>
      </c>
      <c r="P7" s="89"/>
      <c r="Q7" s="89"/>
      <c r="R7" s="5">
        <f>M7+P7</f>
        <v>1600000</v>
      </c>
      <c r="S7" s="109">
        <f aca="true" t="shared" si="0" ref="S7:S19">R7/N7</f>
        <v>2.5098747886214827</v>
      </c>
      <c r="T7" s="82">
        <f aca="true" t="shared" si="1" ref="T7:T70">R7-N7</f>
        <v>962518</v>
      </c>
    </row>
    <row r="8" spans="2:21" ht="26.25">
      <c r="B8" s="59" t="s">
        <v>93</v>
      </c>
      <c r="C8" s="6">
        <v>2000000</v>
      </c>
      <c r="D8" s="6">
        <v>2133950</v>
      </c>
      <c r="E8" s="8">
        <f>D8/C8</f>
        <v>1.066975</v>
      </c>
      <c r="F8" s="7"/>
      <c r="G8" s="48">
        <f aca="true" t="shared" si="2" ref="G8:G25">D8/C8</f>
        <v>1.066975</v>
      </c>
      <c r="H8" s="7"/>
      <c r="I8" s="6">
        <v>635393</v>
      </c>
      <c r="J8" s="6">
        <v>547239</v>
      </c>
      <c r="K8" s="16">
        <f aca="true" t="shared" si="3" ref="K8:K23">J8/I8</f>
        <v>0.8612606685940827</v>
      </c>
      <c r="L8" s="6">
        <f>-35393+15000</f>
        <v>-20393</v>
      </c>
      <c r="M8" s="7">
        <v>559602</v>
      </c>
      <c r="N8" s="7">
        <v>74449</v>
      </c>
      <c r="O8" s="88">
        <f aca="true" t="shared" si="4" ref="O8:O70">N8/M8</f>
        <v>0.1330391957140968</v>
      </c>
      <c r="P8" s="7"/>
      <c r="Q8" s="7">
        <f aca="true" t="shared" si="5" ref="Q8:Q68">N8-M8</f>
        <v>-485153</v>
      </c>
      <c r="R8" s="5">
        <f aca="true" t="shared" si="6" ref="R8:R68">M8+P8</f>
        <v>559602</v>
      </c>
      <c r="S8" s="109">
        <f t="shared" si="0"/>
        <v>7.51658182111244</v>
      </c>
      <c r="T8" s="82">
        <f t="shared" si="1"/>
        <v>485153</v>
      </c>
      <c r="U8" s="61"/>
    </row>
    <row r="9" spans="2:20" ht="15.75" hidden="1">
      <c r="B9" s="43" t="s">
        <v>95</v>
      </c>
      <c r="C9" s="6">
        <v>828000</v>
      </c>
      <c r="D9" s="6">
        <v>817702</v>
      </c>
      <c r="E9" s="8"/>
      <c r="F9" s="7"/>
      <c r="G9" s="48">
        <f t="shared" si="2"/>
        <v>0.9875628019323671</v>
      </c>
      <c r="H9" s="7"/>
      <c r="I9" s="6">
        <v>901000</v>
      </c>
      <c r="J9" s="6">
        <v>816922</v>
      </c>
      <c r="K9" s="16">
        <f t="shared" si="3"/>
        <v>0.9066836847946725</v>
      </c>
      <c r="L9" s="6"/>
      <c r="M9" s="7">
        <v>0</v>
      </c>
      <c r="N9" s="7">
        <v>0</v>
      </c>
      <c r="O9" s="88"/>
      <c r="P9" s="7"/>
      <c r="Q9" s="7">
        <f t="shared" si="5"/>
        <v>0</v>
      </c>
      <c r="R9" s="5">
        <f t="shared" si="6"/>
        <v>0</v>
      </c>
      <c r="S9" s="109" t="e">
        <f t="shared" si="0"/>
        <v>#DIV/0!</v>
      </c>
      <c r="T9" s="82">
        <f t="shared" si="1"/>
        <v>0</v>
      </c>
    </row>
    <row r="10" spans="2:20" ht="15.75" hidden="1">
      <c r="B10" s="44" t="s">
        <v>57</v>
      </c>
      <c r="C10" s="6">
        <v>641000</v>
      </c>
      <c r="D10" s="6">
        <v>641000</v>
      </c>
      <c r="E10" s="16">
        <f aca="true" t="shared" si="7" ref="E10:E23">D10/C10</f>
        <v>1</v>
      </c>
      <c r="F10" s="6"/>
      <c r="G10" s="48">
        <f t="shared" si="2"/>
        <v>1</v>
      </c>
      <c r="H10" s="7"/>
      <c r="I10" s="6">
        <v>537000</v>
      </c>
      <c r="J10" s="6">
        <v>537000</v>
      </c>
      <c r="K10" s="16">
        <f t="shared" si="3"/>
        <v>1</v>
      </c>
      <c r="L10" s="6"/>
      <c r="M10" s="7">
        <v>0</v>
      </c>
      <c r="N10" s="7">
        <v>0</v>
      </c>
      <c r="O10" s="88"/>
      <c r="P10" s="7"/>
      <c r="Q10" s="7">
        <f t="shared" si="5"/>
        <v>0</v>
      </c>
      <c r="R10" s="5">
        <f t="shared" si="6"/>
        <v>0</v>
      </c>
      <c r="S10" s="109" t="e">
        <f t="shared" si="0"/>
        <v>#DIV/0!</v>
      </c>
      <c r="T10" s="82">
        <f t="shared" si="1"/>
        <v>0</v>
      </c>
    </row>
    <row r="11" spans="2:20" ht="15.75">
      <c r="B11" s="58" t="s">
        <v>94</v>
      </c>
      <c r="C11" s="6">
        <v>78373723</v>
      </c>
      <c r="D11" s="6">
        <v>78880727</v>
      </c>
      <c r="E11" s="16">
        <f t="shared" si="7"/>
        <v>1.0064690559615241</v>
      </c>
      <c r="F11" s="6"/>
      <c r="G11" s="48">
        <f t="shared" si="2"/>
        <v>1.0064690559615241</v>
      </c>
      <c r="H11" s="7"/>
      <c r="I11" s="6">
        <v>88003551</v>
      </c>
      <c r="J11" s="6">
        <v>83889331</v>
      </c>
      <c r="K11" s="16">
        <f t="shared" si="3"/>
        <v>0.9532493864935064</v>
      </c>
      <c r="L11" s="6">
        <v>-400000</v>
      </c>
      <c r="M11" s="7">
        <v>67107000</v>
      </c>
      <c r="N11" s="7">
        <v>33831004</v>
      </c>
      <c r="O11" s="88">
        <f t="shared" si="4"/>
        <v>0.5041352466955757</v>
      </c>
      <c r="P11" s="7"/>
      <c r="Q11" s="7">
        <f t="shared" si="5"/>
        <v>-33275996</v>
      </c>
      <c r="R11" s="5">
        <f t="shared" si="6"/>
        <v>67107000</v>
      </c>
      <c r="S11" s="109">
        <f t="shared" si="0"/>
        <v>1.9835946931991733</v>
      </c>
      <c r="T11" s="82">
        <f t="shared" si="1"/>
        <v>33275996</v>
      </c>
    </row>
    <row r="12" spans="2:21" ht="26.25">
      <c r="B12" s="59" t="s">
        <v>96</v>
      </c>
      <c r="C12" s="6">
        <v>2275000</v>
      </c>
      <c r="D12" s="6">
        <v>2331621</v>
      </c>
      <c r="E12" s="16">
        <f t="shared" si="7"/>
        <v>1.0248883516483516</v>
      </c>
      <c r="F12" s="6"/>
      <c r="G12" s="48">
        <f t="shared" si="2"/>
        <v>1.0248883516483516</v>
      </c>
      <c r="H12" s="6"/>
      <c r="I12" s="6">
        <v>2200000</v>
      </c>
      <c r="J12" s="6">
        <v>3005709</v>
      </c>
      <c r="K12" s="16">
        <f t="shared" si="3"/>
        <v>1.3662313636363637</v>
      </c>
      <c r="L12" s="6">
        <v>806000</v>
      </c>
      <c r="M12" s="7">
        <v>3173566</v>
      </c>
      <c r="N12" s="7">
        <v>1516660</v>
      </c>
      <c r="O12" s="88">
        <f t="shared" si="4"/>
        <v>0.47790403602761056</v>
      </c>
      <c r="P12" s="7"/>
      <c r="Q12" s="7">
        <f t="shared" si="5"/>
        <v>-1656906</v>
      </c>
      <c r="R12" s="5">
        <f t="shared" si="6"/>
        <v>3173566</v>
      </c>
      <c r="S12" s="109">
        <f t="shared" si="0"/>
        <v>2.092470296572732</v>
      </c>
      <c r="T12" s="82">
        <f t="shared" si="1"/>
        <v>1656906</v>
      </c>
      <c r="U12" s="61"/>
    </row>
    <row r="13" spans="2:20" ht="26.25">
      <c r="B13" s="59" t="s">
        <v>99</v>
      </c>
      <c r="C13" s="6">
        <v>3027000</v>
      </c>
      <c r="D13" s="6">
        <v>3211708</v>
      </c>
      <c r="E13" s="16">
        <f t="shared" si="7"/>
        <v>1.0610201519656426</v>
      </c>
      <c r="F13" s="6"/>
      <c r="G13" s="48">
        <f t="shared" si="2"/>
        <v>1.0610201519656426</v>
      </c>
      <c r="H13" s="6"/>
      <c r="I13" s="6">
        <v>3125907</v>
      </c>
      <c r="J13" s="6">
        <v>3187760</v>
      </c>
      <c r="K13" s="16">
        <f t="shared" si="3"/>
        <v>1.0197872169581501</v>
      </c>
      <c r="L13" s="6">
        <v>74093</v>
      </c>
      <c r="M13" s="7">
        <f>3359838+20/100*3359838-900000</f>
        <v>3131805.6</v>
      </c>
      <c r="N13" s="7">
        <v>2024343</v>
      </c>
      <c r="O13" s="88">
        <f>N13/M13</f>
        <v>0.6463820742896685</v>
      </c>
      <c r="P13" s="7"/>
      <c r="Q13" s="7">
        <f>N13-M13</f>
        <v>-1107462.6</v>
      </c>
      <c r="R13" s="5">
        <f t="shared" si="6"/>
        <v>3131805.6</v>
      </c>
      <c r="S13" s="109">
        <f>R13/N13</f>
        <v>1.5470726057787638</v>
      </c>
      <c r="T13" s="82">
        <f>R13-N13</f>
        <v>1107462.6</v>
      </c>
    </row>
    <row r="14" spans="2:20" ht="26.25">
      <c r="B14" s="59" t="s">
        <v>100</v>
      </c>
      <c r="C14" s="6">
        <v>2100000</v>
      </c>
      <c r="D14" s="6">
        <v>2152291</v>
      </c>
      <c r="E14" s="16">
        <f t="shared" si="7"/>
        <v>1.024900476190476</v>
      </c>
      <c r="F14" s="6"/>
      <c r="G14" s="48">
        <f t="shared" si="2"/>
        <v>1.024900476190476</v>
      </c>
      <c r="H14" s="6"/>
      <c r="I14" s="6">
        <v>2100000</v>
      </c>
      <c r="J14" s="6">
        <v>1978798</v>
      </c>
      <c r="K14" s="16">
        <f t="shared" si="3"/>
        <v>0.942284761904762</v>
      </c>
      <c r="L14" s="6">
        <v>-100000</v>
      </c>
      <c r="M14" s="7">
        <v>2026078</v>
      </c>
      <c r="N14" s="7">
        <v>1014829</v>
      </c>
      <c r="O14" s="88">
        <f>N14/M14</f>
        <v>0.5008834803003636</v>
      </c>
      <c r="P14" s="7"/>
      <c r="Q14" s="7">
        <f>N14-M14</f>
        <v>-1011249</v>
      </c>
      <c r="R14" s="5">
        <f t="shared" si="6"/>
        <v>2026078</v>
      </c>
      <c r="S14" s="109">
        <f>R14/N14</f>
        <v>1.9964723120841048</v>
      </c>
      <c r="T14" s="82">
        <f>R14-N14</f>
        <v>1011249</v>
      </c>
    </row>
    <row r="15" spans="2:20" ht="15.75">
      <c r="B15" s="58" t="s">
        <v>101</v>
      </c>
      <c r="C15" s="6">
        <v>900000</v>
      </c>
      <c r="D15" s="6">
        <v>929192</v>
      </c>
      <c r="E15" s="16">
        <f t="shared" si="7"/>
        <v>1.0324355555555556</v>
      </c>
      <c r="F15" s="6"/>
      <c r="G15" s="48">
        <f t="shared" si="2"/>
        <v>1.0324355555555556</v>
      </c>
      <c r="H15" s="6"/>
      <c r="I15" s="6">
        <v>900000</v>
      </c>
      <c r="J15" s="6">
        <v>831732</v>
      </c>
      <c r="K15" s="16">
        <f t="shared" si="3"/>
        <v>0.9241466666666667</v>
      </c>
      <c r="L15" s="6"/>
      <c r="M15" s="7">
        <v>885411</v>
      </c>
      <c r="N15" s="6">
        <v>651193</v>
      </c>
      <c r="O15" s="88">
        <f t="shared" si="4"/>
        <v>0.7354697423004684</v>
      </c>
      <c r="P15" s="97"/>
      <c r="Q15" s="97">
        <f t="shared" si="5"/>
        <v>-234218</v>
      </c>
      <c r="R15" s="5">
        <f t="shared" si="6"/>
        <v>885411</v>
      </c>
      <c r="S15" s="109">
        <f t="shared" si="0"/>
        <v>1.359675242209299</v>
      </c>
      <c r="T15" s="82">
        <f t="shared" si="1"/>
        <v>234218</v>
      </c>
    </row>
    <row r="16" spans="2:20" ht="26.25">
      <c r="B16" s="59" t="s">
        <v>97</v>
      </c>
      <c r="C16" s="6">
        <v>10030000</v>
      </c>
      <c r="D16" s="6">
        <v>10627920</v>
      </c>
      <c r="E16" s="16">
        <f t="shared" si="7"/>
        <v>1.0596131605184447</v>
      </c>
      <c r="F16" s="6"/>
      <c r="G16" s="48">
        <f t="shared" si="2"/>
        <v>1.0596131605184447</v>
      </c>
      <c r="H16" s="6"/>
      <c r="I16" s="6">
        <v>9400000</v>
      </c>
      <c r="J16" s="6">
        <v>9001261</v>
      </c>
      <c r="K16" s="16">
        <f t="shared" si="3"/>
        <v>0.9575809574468085</v>
      </c>
      <c r="L16" s="6">
        <v>-300000</v>
      </c>
      <c r="M16" s="7">
        <f>9570657+20/100*9570657</f>
        <v>11484788.4</v>
      </c>
      <c r="N16" s="7">
        <v>7738947</v>
      </c>
      <c r="O16" s="88">
        <f>N16/M16</f>
        <v>0.6738432377212975</v>
      </c>
      <c r="P16" s="7"/>
      <c r="Q16" s="7">
        <f>N16-M16</f>
        <v>-3745841.4000000004</v>
      </c>
      <c r="R16" s="5">
        <f t="shared" si="6"/>
        <v>11484788.4</v>
      </c>
      <c r="S16" s="109">
        <f>R16/N16</f>
        <v>1.4840246870795213</v>
      </c>
      <c r="T16" s="82">
        <f>R16-N16</f>
        <v>3745841.4000000004</v>
      </c>
    </row>
    <row r="17" spans="2:21" ht="26.25">
      <c r="B17" s="59" t="s">
        <v>98</v>
      </c>
      <c r="C17" s="6">
        <v>13950000</v>
      </c>
      <c r="D17" s="6">
        <v>14192795</v>
      </c>
      <c r="E17" s="16">
        <f t="shared" si="7"/>
        <v>1.0174046594982078</v>
      </c>
      <c r="F17" s="6"/>
      <c r="G17" s="48">
        <f t="shared" si="2"/>
        <v>1.0174046594982078</v>
      </c>
      <c r="H17" s="6"/>
      <c r="I17" s="6">
        <v>14000000</v>
      </c>
      <c r="J17" s="6">
        <v>14166197</v>
      </c>
      <c r="K17" s="16">
        <f t="shared" si="3"/>
        <v>1.0118712142857142</v>
      </c>
      <c r="L17" s="6">
        <v>200000</v>
      </c>
      <c r="M17" s="7">
        <v>14779581</v>
      </c>
      <c r="N17" s="7">
        <v>12117769</v>
      </c>
      <c r="O17" s="88">
        <f>N17/M17</f>
        <v>0.8198993597991716</v>
      </c>
      <c r="P17" s="7"/>
      <c r="Q17" s="7">
        <f>N17-M17</f>
        <v>-2661812</v>
      </c>
      <c r="R17" s="5">
        <f t="shared" si="6"/>
        <v>14779581</v>
      </c>
      <c r="S17" s="109">
        <f>R17/N17</f>
        <v>1.2196618866063547</v>
      </c>
      <c r="T17" s="82">
        <f>R17-N17</f>
        <v>2661812</v>
      </c>
      <c r="U17" s="61"/>
    </row>
    <row r="18" spans="2:20" ht="15.75">
      <c r="B18" s="58" t="s">
        <v>102</v>
      </c>
      <c r="C18" s="6">
        <v>880000</v>
      </c>
      <c r="D18" s="6">
        <v>928547</v>
      </c>
      <c r="E18" s="16">
        <f t="shared" si="7"/>
        <v>1.0551670454545454</v>
      </c>
      <c r="F18" s="6"/>
      <c r="G18" s="48">
        <f t="shared" si="2"/>
        <v>1.0551670454545454</v>
      </c>
      <c r="H18" s="6"/>
      <c r="I18" s="6">
        <v>1150000</v>
      </c>
      <c r="J18" s="6">
        <v>1220000</v>
      </c>
      <c r="K18" s="16">
        <f t="shared" si="3"/>
        <v>1.0608695652173914</v>
      </c>
      <c r="L18" s="6">
        <v>70000</v>
      </c>
      <c r="M18" s="7">
        <v>1358026</v>
      </c>
      <c r="N18" s="7">
        <v>766544</v>
      </c>
      <c r="O18" s="88">
        <f t="shared" si="4"/>
        <v>0.5644545833437652</v>
      </c>
      <c r="P18" s="7"/>
      <c r="Q18" s="7">
        <f t="shared" si="5"/>
        <v>-591482</v>
      </c>
      <c r="R18" s="5">
        <f t="shared" si="6"/>
        <v>1358026</v>
      </c>
      <c r="S18" s="109">
        <f t="shared" si="0"/>
        <v>1.7716217203448203</v>
      </c>
      <c r="T18" s="82">
        <f t="shared" si="1"/>
        <v>591482</v>
      </c>
    </row>
    <row r="19" spans="2:20" ht="15" customHeight="1">
      <c r="B19" s="60" t="s">
        <v>105</v>
      </c>
      <c r="C19" s="6">
        <v>20000</v>
      </c>
      <c r="D19" s="6">
        <v>25457</v>
      </c>
      <c r="E19" s="16">
        <f t="shared" si="7"/>
        <v>1.27285</v>
      </c>
      <c r="F19" s="6"/>
      <c r="G19" s="48">
        <f t="shared" si="2"/>
        <v>1.27285</v>
      </c>
      <c r="H19" s="6"/>
      <c r="I19" s="6">
        <v>27000</v>
      </c>
      <c r="J19" s="6">
        <v>27833</v>
      </c>
      <c r="K19" s="16">
        <f t="shared" si="3"/>
        <v>1.030851851851852</v>
      </c>
      <c r="L19" s="6">
        <v>1000</v>
      </c>
      <c r="M19" s="7">
        <v>33871</v>
      </c>
      <c r="N19" s="7">
        <v>16107</v>
      </c>
      <c r="O19" s="88">
        <f t="shared" si="4"/>
        <v>0.47553954710519325</v>
      </c>
      <c r="P19" s="7"/>
      <c r="Q19" s="7">
        <f t="shared" si="5"/>
        <v>-17764</v>
      </c>
      <c r="R19" s="5">
        <f t="shared" si="6"/>
        <v>33871</v>
      </c>
      <c r="S19" s="109">
        <f t="shared" si="0"/>
        <v>2.10287452660334</v>
      </c>
      <c r="T19" s="82">
        <f t="shared" si="1"/>
        <v>17764</v>
      </c>
    </row>
    <row r="20" spans="2:20" ht="15.75" hidden="1">
      <c r="B20" s="60" t="s">
        <v>104</v>
      </c>
      <c r="C20" s="6">
        <v>15200</v>
      </c>
      <c r="D20" s="6">
        <v>13224</v>
      </c>
      <c r="E20" s="16">
        <f t="shared" si="7"/>
        <v>0.87</v>
      </c>
      <c r="F20" s="6"/>
      <c r="G20" s="48">
        <f t="shared" si="2"/>
        <v>0.87</v>
      </c>
      <c r="H20" s="6"/>
      <c r="I20" s="6">
        <v>3224</v>
      </c>
      <c r="J20" s="6">
        <v>0</v>
      </c>
      <c r="K20" s="16">
        <f t="shared" si="3"/>
        <v>0</v>
      </c>
      <c r="L20" s="6">
        <v>-3224</v>
      </c>
      <c r="M20" s="7">
        <v>0</v>
      </c>
      <c r="N20" s="7"/>
      <c r="O20" s="88" t="e">
        <f t="shared" si="4"/>
        <v>#DIV/0!</v>
      </c>
      <c r="P20" s="7"/>
      <c r="Q20" s="7">
        <f t="shared" si="5"/>
        <v>0</v>
      </c>
      <c r="R20" s="5">
        <f t="shared" si="6"/>
        <v>0</v>
      </c>
      <c r="S20" s="109"/>
      <c r="T20" s="82">
        <f t="shared" si="1"/>
        <v>0</v>
      </c>
    </row>
    <row r="21" spans="2:20" ht="26.25">
      <c r="B21" s="62" t="s">
        <v>106</v>
      </c>
      <c r="C21" s="6">
        <v>4460000</v>
      </c>
      <c r="D21" s="6">
        <v>4854206</v>
      </c>
      <c r="E21" s="16">
        <f t="shared" si="7"/>
        <v>1.088386995515695</v>
      </c>
      <c r="F21" s="6"/>
      <c r="G21" s="48">
        <f t="shared" si="2"/>
        <v>1.088386995515695</v>
      </c>
      <c r="H21" s="6"/>
      <c r="I21" s="6">
        <v>4550000</v>
      </c>
      <c r="J21" s="6">
        <v>4716298</v>
      </c>
      <c r="K21" s="16">
        <f t="shared" si="3"/>
        <v>1.036549010989011</v>
      </c>
      <c r="L21" s="6">
        <v>250000</v>
      </c>
      <c r="M21" s="7">
        <f>5114435+20/100*5114435</f>
        <v>6137322</v>
      </c>
      <c r="N21" s="7">
        <v>4175216</v>
      </c>
      <c r="O21" s="88">
        <f t="shared" si="4"/>
        <v>0.680299322733922</v>
      </c>
      <c r="P21" s="7"/>
      <c r="Q21" s="7">
        <f t="shared" si="5"/>
        <v>-1962106</v>
      </c>
      <c r="R21" s="5">
        <f t="shared" si="6"/>
        <v>6137322</v>
      </c>
      <c r="S21" s="109">
        <f aca="true" t="shared" si="8" ref="S21:S41">R21/N21</f>
        <v>1.4699411958566935</v>
      </c>
      <c r="T21" s="82">
        <f t="shared" si="1"/>
        <v>1962106</v>
      </c>
    </row>
    <row r="22" spans="2:20" ht="26.25">
      <c r="B22" s="62" t="s">
        <v>123</v>
      </c>
      <c r="C22" s="6">
        <v>3080000</v>
      </c>
      <c r="D22" s="6">
        <v>3187350</v>
      </c>
      <c r="E22" s="16">
        <f t="shared" si="7"/>
        <v>1.034853896103896</v>
      </c>
      <c r="F22" s="6"/>
      <c r="G22" s="48">
        <f t="shared" si="2"/>
        <v>1.034853896103896</v>
      </c>
      <c r="H22" s="6"/>
      <c r="I22" s="6">
        <v>3000000</v>
      </c>
      <c r="J22" s="6">
        <v>2839908</v>
      </c>
      <c r="K22" s="16">
        <f t="shared" si="3"/>
        <v>0.946636</v>
      </c>
      <c r="L22" s="6"/>
      <c r="M22" s="7">
        <f>2927413+20/100*2927413</f>
        <v>3512895.6</v>
      </c>
      <c r="N22" s="7">
        <v>2686086</v>
      </c>
      <c r="O22" s="88">
        <f t="shared" si="4"/>
        <v>0.7646358747467473</v>
      </c>
      <c r="P22" s="7"/>
      <c r="Q22" s="7">
        <f t="shared" si="5"/>
        <v>-826809.6000000001</v>
      </c>
      <c r="R22" s="5">
        <f t="shared" si="6"/>
        <v>3512895.6</v>
      </c>
      <c r="S22" s="109">
        <f t="shared" si="8"/>
        <v>1.307812035802279</v>
      </c>
      <c r="T22" s="82">
        <f t="shared" si="1"/>
        <v>826809.6000000001</v>
      </c>
    </row>
    <row r="23" spans="2:20" ht="15.75" hidden="1">
      <c r="B23" s="60" t="s">
        <v>38</v>
      </c>
      <c r="C23" s="6">
        <v>0</v>
      </c>
      <c r="D23" s="6"/>
      <c r="E23" s="8" t="e">
        <f t="shared" si="7"/>
        <v>#DIV/0!</v>
      </c>
      <c r="F23" s="6"/>
      <c r="G23" s="48" t="e">
        <f t="shared" si="2"/>
        <v>#DIV/0!</v>
      </c>
      <c r="H23" s="6"/>
      <c r="I23" s="6">
        <v>0</v>
      </c>
      <c r="J23" s="6"/>
      <c r="K23" s="16" t="e">
        <f t="shared" si="3"/>
        <v>#DIV/0!</v>
      </c>
      <c r="L23" s="6"/>
      <c r="M23" s="7"/>
      <c r="N23" s="7"/>
      <c r="O23" s="88" t="e">
        <f t="shared" si="4"/>
        <v>#DIV/0!</v>
      </c>
      <c r="P23" s="7"/>
      <c r="Q23" s="7">
        <f t="shared" si="5"/>
        <v>0</v>
      </c>
      <c r="R23" s="5">
        <f t="shared" si="6"/>
        <v>0</v>
      </c>
      <c r="S23" s="109" t="e">
        <f t="shared" si="8"/>
        <v>#DIV/0!</v>
      </c>
      <c r="T23" s="82">
        <f t="shared" si="1"/>
        <v>0</v>
      </c>
    </row>
    <row r="24" spans="2:20" ht="0.75" customHeight="1">
      <c r="B24" s="60" t="s">
        <v>53</v>
      </c>
      <c r="C24" s="6">
        <v>800</v>
      </c>
      <c r="D24" s="6">
        <v>0</v>
      </c>
      <c r="E24" s="8"/>
      <c r="F24" s="6"/>
      <c r="G24" s="48">
        <f t="shared" si="2"/>
        <v>0</v>
      </c>
      <c r="H24" s="6"/>
      <c r="I24" s="6">
        <v>0</v>
      </c>
      <c r="J24" s="6">
        <v>0</v>
      </c>
      <c r="K24" s="16"/>
      <c r="L24" s="6"/>
      <c r="M24" s="7"/>
      <c r="N24" s="7"/>
      <c r="O24" s="88" t="e">
        <f t="shared" si="4"/>
        <v>#DIV/0!</v>
      </c>
      <c r="P24" s="7"/>
      <c r="Q24" s="7">
        <f t="shared" si="5"/>
        <v>0</v>
      </c>
      <c r="R24" s="5">
        <f t="shared" si="6"/>
        <v>0</v>
      </c>
      <c r="S24" s="109" t="e">
        <f t="shared" si="8"/>
        <v>#DIV/0!</v>
      </c>
      <c r="T24" s="82">
        <f t="shared" si="1"/>
        <v>0</v>
      </c>
    </row>
    <row r="25" spans="2:20" ht="15.75">
      <c r="B25" s="60" t="s">
        <v>108</v>
      </c>
      <c r="C25" s="6">
        <v>2124765</v>
      </c>
      <c r="D25" s="6">
        <v>2332241</v>
      </c>
      <c r="E25" s="8">
        <f>D25/C25</f>
        <v>1.0976465632669965</v>
      </c>
      <c r="F25" s="6"/>
      <c r="G25" s="48">
        <f t="shared" si="2"/>
        <v>1.0976465632669965</v>
      </c>
      <c r="H25" s="6"/>
      <c r="I25" s="6">
        <v>2332241</v>
      </c>
      <c r="J25" s="6">
        <v>1963032</v>
      </c>
      <c r="K25" s="16">
        <f>J25/I25</f>
        <v>0.841693461353265</v>
      </c>
      <c r="L25" s="6">
        <v>-110033</v>
      </c>
      <c r="M25" s="7">
        <v>2084444</v>
      </c>
      <c r="N25" s="7">
        <v>1228947</v>
      </c>
      <c r="O25" s="88">
        <f t="shared" si="4"/>
        <v>0.5895802429808621</v>
      </c>
      <c r="P25" s="7">
        <v>14878</v>
      </c>
      <c r="Q25" s="7">
        <f t="shared" si="5"/>
        <v>-855497</v>
      </c>
      <c r="R25" s="5">
        <f t="shared" si="6"/>
        <v>2099322</v>
      </c>
      <c r="S25" s="109">
        <f t="shared" si="8"/>
        <v>1.7082282637086872</v>
      </c>
      <c r="T25" s="82">
        <f t="shared" si="1"/>
        <v>870375</v>
      </c>
    </row>
    <row r="26" spans="2:20" ht="15.75" hidden="1">
      <c r="B26" s="60" t="s">
        <v>90</v>
      </c>
      <c r="C26" s="6">
        <v>0</v>
      </c>
      <c r="D26" s="6">
        <v>0</v>
      </c>
      <c r="E26" s="16" t="e">
        <f>D26/C26</f>
        <v>#DIV/0!</v>
      </c>
      <c r="F26" s="6"/>
      <c r="G26" s="48"/>
      <c r="H26" s="7"/>
      <c r="I26" s="6">
        <v>0</v>
      </c>
      <c r="J26" s="6">
        <v>0</v>
      </c>
      <c r="K26" s="16"/>
      <c r="L26" s="6"/>
      <c r="M26" s="7"/>
      <c r="N26" s="7"/>
      <c r="O26" s="88" t="e">
        <f t="shared" si="4"/>
        <v>#DIV/0!</v>
      </c>
      <c r="P26" s="7"/>
      <c r="Q26" s="7">
        <f t="shared" si="5"/>
        <v>0</v>
      </c>
      <c r="R26" s="5">
        <f t="shared" si="6"/>
        <v>0</v>
      </c>
      <c r="S26" s="109" t="e">
        <f t="shared" si="8"/>
        <v>#DIV/0!</v>
      </c>
      <c r="T26" s="82">
        <f t="shared" si="1"/>
        <v>0</v>
      </c>
    </row>
    <row r="27" spans="2:20" ht="15" customHeight="1">
      <c r="B27" s="60" t="s">
        <v>110</v>
      </c>
      <c r="C27" s="6">
        <v>90000</v>
      </c>
      <c r="D27" s="6">
        <v>92216</v>
      </c>
      <c r="E27" s="16">
        <f>D27/C27</f>
        <v>1.0246222222222223</v>
      </c>
      <c r="F27" s="6"/>
      <c r="G27" s="48">
        <f aca="true" t="shared" si="9" ref="G27:G49">D27/C27</f>
        <v>1.0246222222222223</v>
      </c>
      <c r="H27" s="7"/>
      <c r="I27" s="6">
        <v>100000</v>
      </c>
      <c r="J27" s="6">
        <v>99497</v>
      </c>
      <c r="K27" s="16">
        <f aca="true" t="shared" si="10" ref="K27:K41">J27/I27</f>
        <v>0.99497</v>
      </c>
      <c r="L27" s="6"/>
      <c r="M27" s="7">
        <v>110000</v>
      </c>
      <c r="N27" s="7">
        <v>40594</v>
      </c>
      <c r="O27" s="88">
        <f t="shared" si="4"/>
        <v>0.36903636363636366</v>
      </c>
      <c r="P27" s="7"/>
      <c r="Q27" s="7">
        <f t="shared" si="5"/>
        <v>-69406</v>
      </c>
      <c r="R27" s="5">
        <f t="shared" si="6"/>
        <v>110000</v>
      </c>
      <c r="S27" s="109">
        <f t="shared" si="8"/>
        <v>2.709760063063507</v>
      </c>
      <c r="T27" s="82">
        <f t="shared" si="1"/>
        <v>69406</v>
      </c>
    </row>
    <row r="28" spans="2:20" ht="26.25" hidden="1">
      <c r="B28" s="62" t="s">
        <v>87</v>
      </c>
      <c r="C28" s="6">
        <v>0</v>
      </c>
      <c r="D28" s="6"/>
      <c r="E28" s="16"/>
      <c r="F28" s="6"/>
      <c r="G28" s="48" t="e">
        <f t="shared" si="9"/>
        <v>#DIV/0!</v>
      </c>
      <c r="H28" s="7"/>
      <c r="I28" s="6">
        <v>0</v>
      </c>
      <c r="J28" s="6"/>
      <c r="K28" s="16" t="e">
        <f t="shared" si="10"/>
        <v>#DIV/0!</v>
      </c>
      <c r="L28" s="6"/>
      <c r="M28" s="7"/>
      <c r="N28" s="7"/>
      <c r="O28" s="88" t="e">
        <f t="shared" si="4"/>
        <v>#DIV/0!</v>
      </c>
      <c r="P28" s="7"/>
      <c r="Q28" s="7">
        <f t="shared" si="5"/>
        <v>0</v>
      </c>
      <c r="R28" s="5">
        <f t="shared" si="6"/>
        <v>0</v>
      </c>
      <c r="S28" s="109" t="e">
        <f t="shared" si="8"/>
        <v>#DIV/0!</v>
      </c>
      <c r="T28" s="82">
        <f t="shared" si="1"/>
        <v>0</v>
      </c>
    </row>
    <row r="29" spans="2:20" ht="15.75" hidden="1">
      <c r="B29" s="60" t="s">
        <v>79</v>
      </c>
      <c r="C29" s="6">
        <v>0</v>
      </c>
      <c r="D29" s="6"/>
      <c r="E29" s="8" t="e">
        <f aca="true" t="shared" si="11" ref="E29:E45">D29/C29</f>
        <v>#DIV/0!</v>
      </c>
      <c r="F29" s="6"/>
      <c r="G29" s="48" t="e">
        <f t="shared" si="9"/>
        <v>#DIV/0!</v>
      </c>
      <c r="H29" s="7"/>
      <c r="I29" s="6">
        <v>0</v>
      </c>
      <c r="J29" s="6"/>
      <c r="K29" s="16" t="e">
        <f t="shared" si="10"/>
        <v>#DIV/0!</v>
      </c>
      <c r="L29" s="6"/>
      <c r="M29" s="7"/>
      <c r="N29" s="7"/>
      <c r="O29" s="88" t="e">
        <f t="shared" si="4"/>
        <v>#DIV/0!</v>
      </c>
      <c r="P29" s="7"/>
      <c r="Q29" s="7">
        <f t="shared" si="5"/>
        <v>0</v>
      </c>
      <c r="R29" s="5">
        <f t="shared" si="6"/>
        <v>0</v>
      </c>
      <c r="S29" s="109" t="e">
        <f t="shared" si="8"/>
        <v>#DIV/0!</v>
      </c>
      <c r="T29" s="82">
        <f t="shared" si="1"/>
        <v>0</v>
      </c>
    </row>
    <row r="30" spans="2:20" ht="15" customHeight="1" hidden="1">
      <c r="B30" s="63" t="s">
        <v>53</v>
      </c>
      <c r="C30" s="6">
        <v>0</v>
      </c>
      <c r="D30" s="6"/>
      <c r="E30" s="8" t="e">
        <f t="shared" si="11"/>
        <v>#DIV/0!</v>
      </c>
      <c r="F30" s="6"/>
      <c r="G30" s="48" t="e">
        <f t="shared" si="9"/>
        <v>#DIV/0!</v>
      </c>
      <c r="H30" s="7"/>
      <c r="I30" s="6">
        <v>0</v>
      </c>
      <c r="J30" s="6"/>
      <c r="K30" s="16" t="e">
        <f t="shared" si="10"/>
        <v>#DIV/0!</v>
      </c>
      <c r="L30" s="6"/>
      <c r="M30" s="7"/>
      <c r="N30" s="7"/>
      <c r="O30" s="88" t="e">
        <f t="shared" si="4"/>
        <v>#DIV/0!</v>
      </c>
      <c r="P30" s="7"/>
      <c r="Q30" s="7">
        <f t="shared" si="5"/>
        <v>0</v>
      </c>
      <c r="R30" s="5">
        <f t="shared" si="6"/>
        <v>0</v>
      </c>
      <c r="S30" s="109" t="e">
        <f t="shared" si="8"/>
        <v>#DIV/0!</v>
      </c>
      <c r="T30" s="82">
        <f t="shared" si="1"/>
        <v>0</v>
      </c>
    </row>
    <row r="31" spans="2:20" ht="15.75" hidden="1">
      <c r="B31" s="63" t="s">
        <v>77</v>
      </c>
      <c r="C31" s="6">
        <v>0</v>
      </c>
      <c r="D31" s="6"/>
      <c r="E31" s="8" t="e">
        <f t="shared" si="11"/>
        <v>#DIV/0!</v>
      </c>
      <c r="F31" s="6"/>
      <c r="G31" s="48" t="e">
        <f t="shared" si="9"/>
        <v>#DIV/0!</v>
      </c>
      <c r="H31" s="7"/>
      <c r="I31" s="6">
        <v>0</v>
      </c>
      <c r="J31" s="6"/>
      <c r="K31" s="16" t="e">
        <f t="shared" si="10"/>
        <v>#DIV/0!</v>
      </c>
      <c r="L31" s="6"/>
      <c r="M31" s="7"/>
      <c r="N31" s="7"/>
      <c r="O31" s="88" t="e">
        <f t="shared" si="4"/>
        <v>#DIV/0!</v>
      </c>
      <c r="P31" s="7"/>
      <c r="Q31" s="7">
        <f t="shared" si="5"/>
        <v>0</v>
      </c>
      <c r="R31" s="5">
        <f t="shared" si="6"/>
        <v>0</v>
      </c>
      <c r="S31" s="109" t="e">
        <f t="shared" si="8"/>
        <v>#DIV/0!</v>
      </c>
      <c r="T31" s="82">
        <f t="shared" si="1"/>
        <v>0</v>
      </c>
    </row>
    <row r="32" spans="2:20" ht="0.75" customHeight="1" hidden="1">
      <c r="B32" s="63" t="s">
        <v>35</v>
      </c>
      <c r="C32" s="6">
        <v>0</v>
      </c>
      <c r="D32" s="6"/>
      <c r="E32" s="8" t="e">
        <f t="shared" si="11"/>
        <v>#DIV/0!</v>
      </c>
      <c r="F32" s="6"/>
      <c r="G32" s="48" t="e">
        <f t="shared" si="9"/>
        <v>#DIV/0!</v>
      </c>
      <c r="H32" s="7"/>
      <c r="I32" s="6">
        <v>0</v>
      </c>
      <c r="J32" s="6"/>
      <c r="K32" s="16" t="e">
        <f t="shared" si="10"/>
        <v>#DIV/0!</v>
      </c>
      <c r="L32" s="6"/>
      <c r="M32" s="7"/>
      <c r="N32" s="7"/>
      <c r="O32" s="88" t="e">
        <f t="shared" si="4"/>
        <v>#DIV/0!</v>
      </c>
      <c r="P32" s="7"/>
      <c r="Q32" s="7">
        <f t="shared" si="5"/>
        <v>0</v>
      </c>
      <c r="R32" s="5">
        <f t="shared" si="6"/>
        <v>0</v>
      </c>
      <c r="S32" s="109" t="e">
        <f t="shared" si="8"/>
        <v>#DIV/0!</v>
      </c>
      <c r="T32" s="82">
        <f t="shared" si="1"/>
        <v>0</v>
      </c>
    </row>
    <row r="33" spans="2:20" ht="0.75" customHeight="1" hidden="1">
      <c r="B33" s="63"/>
      <c r="C33" s="6">
        <v>0</v>
      </c>
      <c r="D33" s="6"/>
      <c r="E33" s="8" t="e">
        <f t="shared" si="11"/>
        <v>#DIV/0!</v>
      </c>
      <c r="F33" s="6"/>
      <c r="G33" s="48" t="e">
        <f t="shared" si="9"/>
        <v>#DIV/0!</v>
      </c>
      <c r="H33" s="7"/>
      <c r="I33" s="6">
        <v>0</v>
      </c>
      <c r="J33" s="6"/>
      <c r="K33" s="16" t="e">
        <f t="shared" si="10"/>
        <v>#DIV/0!</v>
      </c>
      <c r="L33" s="6"/>
      <c r="M33" s="7"/>
      <c r="N33" s="7"/>
      <c r="O33" s="88" t="e">
        <f t="shared" si="4"/>
        <v>#DIV/0!</v>
      </c>
      <c r="P33" s="7"/>
      <c r="Q33" s="7">
        <f t="shared" si="5"/>
        <v>0</v>
      </c>
      <c r="R33" s="5">
        <f t="shared" si="6"/>
        <v>0</v>
      </c>
      <c r="S33" s="109" t="e">
        <f t="shared" si="8"/>
        <v>#DIV/0!</v>
      </c>
      <c r="T33" s="82">
        <f t="shared" si="1"/>
        <v>0</v>
      </c>
    </row>
    <row r="34" spans="2:20" ht="18" customHeight="1">
      <c r="B34" s="63" t="s">
        <v>112</v>
      </c>
      <c r="C34" s="6">
        <v>44203</v>
      </c>
      <c r="D34" s="6">
        <v>51985</v>
      </c>
      <c r="E34" s="16">
        <f t="shared" si="11"/>
        <v>1.1760513992262969</v>
      </c>
      <c r="F34" s="6"/>
      <c r="G34" s="48">
        <f t="shared" si="9"/>
        <v>1.1760513992262969</v>
      </c>
      <c r="H34" s="7"/>
      <c r="I34" s="6">
        <v>74000</v>
      </c>
      <c r="J34" s="6">
        <v>74195</v>
      </c>
      <c r="K34" s="16">
        <f t="shared" si="10"/>
        <v>1.002635135135135</v>
      </c>
      <c r="L34" s="6"/>
      <c r="M34" s="7">
        <v>93000</v>
      </c>
      <c r="N34" s="7">
        <v>22830</v>
      </c>
      <c r="O34" s="88">
        <f t="shared" si="4"/>
        <v>0.24548387096774194</v>
      </c>
      <c r="P34" s="7"/>
      <c r="Q34" s="7">
        <f t="shared" si="5"/>
        <v>-70170</v>
      </c>
      <c r="R34" s="5">
        <f t="shared" si="6"/>
        <v>93000</v>
      </c>
      <c r="S34" s="109">
        <f t="shared" si="8"/>
        <v>4.073587385019711</v>
      </c>
      <c r="T34" s="82">
        <f t="shared" si="1"/>
        <v>70170</v>
      </c>
    </row>
    <row r="35" spans="2:20" ht="15.75">
      <c r="B35" s="63" t="s">
        <v>109</v>
      </c>
      <c r="C35" s="6">
        <v>514</v>
      </c>
      <c r="D35" s="6">
        <v>406</v>
      </c>
      <c r="E35" s="16">
        <f t="shared" si="11"/>
        <v>0.7898832684824902</v>
      </c>
      <c r="F35" s="6"/>
      <c r="G35" s="48">
        <f t="shared" si="9"/>
        <v>0.7898832684824902</v>
      </c>
      <c r="H35" s="7"/>
      <c r="I35" s="6">
        <v>35000</v>
      </c>
      <c r="J35" s="6">
        <v>34394</v>
      </c>
      <c r="K35" s="16">
        <f t="shared" si="10"/>
        <v>0.9826857142857143</v>
      </c>
      <c r="L35" s="6"/>
      <c r="M35" s="7">
        <v>34394</v>
      </c>
      <c r="N35" s="7">
        <v>600</v>
      </c>
      <c r="O35" s="88">
        <f t="shared" si="4"/>
        <v>0.017444903180787348</v>
      </c>
      <c r="P35" s="7"/>
      <c r="Q35" s="7">
        <f t="shared" si="5"/>
        <v>-33794</v>
      </c>
      <c r="R35" s="5">
        <f t="shared" si="6"/>
        <v>34394</v>
      </c>
      <c r="S35" s="109">
        <f t="shared" si="8"/>
        <v>57.32333333333333</v>
      </c>
      <c r="T35" s="82">
        <f t="shared" si="1"/>
        <v>33794</v>
      </c>
    </row>
    <row r="36" spans="2:20" ht="15.75">
      <c r="B36" s="60" t="s">
        <v>107</v>
      </c>
      <c r="C36" s="6">
        <v>480187</v>
      </c>
      <c r="D36" s="6">
        <v>473498</v>
      </c>
      <c r="E36" s="16">
        <f t="shared" si="11"/>
        <v>0.9860700102251831</v>
      </c>
      <c r="F36" s="6"/>
      <c r="G36" s="48">
        <f t="shared" si="9"/>
        <v>0.9860700102251831</v>
      </c>
      <c r="H36" s="7"/>
      <c r="I36" s="6">
        <v>473498</v>
      </c>
      <c r="J36" s="6">
        <v>413376</v>
      </c>
      <c r="K36" s="16">
        <f t="shared" si="10"/>
        <v>0.8730258628336339</v>
      </c>
      <c r="L36" s="6">
        <v>-50000</v>
      </c>
      <c r="M36" s="7">
        <v>490000</v>
      </c>
      <c r="N36" s="7">
        <v>446371</v>
      </c>
      <c r="O36" s="88">
        <f t="shared" si="4"/>
        <v>0.9109612244897959</v>
      </c>
      <c r="P36" s="7"/>
      <c r="Q36" s="7">
        <f t="shared" si="5"/>
        <v>-43629</v>
      </c>
      <c r="R36" s="5">
        <f t="shared" si="6"/>
        <v>490000</v>
      </c>
      <c r="S36" s="109">
        <f t="shared" si="8"/>
        <v>1.0977415647521904</v>
      </c>
      <c r="T36" s="82">
        <f t="shared" si="1"/>
        <v>43629</v>
      </c>
    </row>
    <row r="37" spans="2:20" ht="0.75" customHeight="1">
      <c r="B37" s="60" t="s">
        <v>38</v>
      </c>
      <c r="C37" s="6">
        <v>0</v>
      </c>
      <c r="D37" s="6"/>
      <c r="E37" s="8" t="e">
        <f t="shared" si="11"/>
        <v>#DIV/0!</v>
      </c>
      <c r="F37" s="6"/>
      <c r="G37" s="48" t="e">
        <f t="shared" si="9"/>
        <v>#DIV/0!</v>
      </c>
      <c r="H37" s="7"/>
      <c r="I37" s="6">
        <v>0</v>
      </c>
      <c r="J37" s="6"/>
      <c r="K37" s="16" t="e">
        <f t="shared" si="10"/>
        <v>#DIV/0!</v>
      </c>
      <c r="L37" s="6"/>
      <c r="M37" s="7"/>
      <c r="N37" s="7"/>
      <c r="O37" s="88" t="e">
        <f t="shared" si="4"/>
        <v>#DIV/0!</v>
      </c>
      <c r="P37" s="7"/>
      <c r="Q37" s="7">
        <f t="shared" si="5"/>
        <v>0</v>
      </c>
      <c r="R37" s="5">
        <f t="shared" si="6"/>
        <v>0</v>
      </c>
      <c r="S37" s="109" t="e">
        <f t="shared" si="8"/>
        <v>#DIV/0!</v>
      </c>
      <c r="T37" s="82">
        <f t="shared" si="1"/>
        <v>0</v>
      </c>
    </row>
    <row r="38" spans="2:20" ht="15.75">
      <c r="B38" s="60" t="s">
        <v>113</v>
      </c>
      <c r="C38" s="6">
        <v>630000</v>
      </c>
      <c r="D38" s="6">
        <v>632151</v>
      </c>
      <c r="E38" s="8">
        <f t="shared" si="11"/>
        <v>1.0034142857142858</v>
      </c>
      <c r="F38" s="7"/>
      <c r="G38" s="48">
        <f t="shared" si="9"/>
        <v>1.0034142857142858</v>
      </c>
      <c r="H38" s="7"/>
      <c r="I38" s="6">
        <v>42000</v>
      </c>
      <c r="J38" s="6">
        <v>41976</v>
      </c>
      <c r="K38" s="16">
        <f t="shared" si="10"/>
        <v>0.9994285714285714</v>
      </c>
      <c r="L38" s="6"/>
      <c r="M38" s="7">
        <v>42187</v>
      </c>
      <c r="N38" s="7">
        <v>1523</v>
      </c>
      <c r="O38" s="88">
        <f t="shared" si="4"/>
        <v>0.036101168606442746</v>
      </c>
      <c r="P38" s="7"/>
      <c r="Q38" s="7">
        <f t="shared" si="5"/>
        <v>-40664</v>
      </c>
      <c r="R38" s="5">
        <f t="shared" si="6"/>
        <v>42187</v>
      </c>
      <c r="S38" s="109">
        <f t="shared" si="8"/>
        <v>27.699934340118187</v>
      </c>
      <c r="T38" s="82">
        <f t="shared" si="1"/>
        <v>40664</v>
      </c>
    </row>
    <row r="39" spans="2:20" ht="15.75">
      <c r="B39" s="60" t="s">
        <v>114</v>
      </c>
      <c r="C39" s="6">
        <v>120000</v>
      </c>
      <c r="D39" s="6">
        <v>119950</v>
      </c>
      <c r="E39" s="8">
        <f t="shared" si="11"/>
        <v>0.9995833333333334</v>
      </c>
      <c r="F39" s="7"/>
      <c r="G39" s="48">
        <f t="shared" si="9"/>
        <v>0.9995833333333334</v>
      </c>
      <c r="H39" s="7"/>
      <c r="I39" s="6">
        <v>113000</v>
      </c>
      <c r="J39" s="6">
        <v>116556</v>
      </c>
      <c r="K39" s="16">
        <f t="shared" si="10"/>
        <v>1.0314690265486726</v>
      </c>
      <c r="L39" s="6">
        <v>4000</v>
      </c>
      <c r="M39" s="7">
        <v>123913</v>
      </c>
      <c r="N39" s="7">
        <v>48890</v>
      </c>
      <c r="O39" s="88">
        <f t="shared" si="4"/>
        <v>0.3945510156319353</v>
      </c>
      <c r="P39" s="7"/>
      <c r="Q39" s="7">
        <f t="shared" si="5"/>
        <v>-75023</v>
      </c>
      <c r="R39" s="5">
        <f t="shared" si="6"/>
        <v>123913</v>
      </c>
      <c r="S39" s="109">
        <f t="shared" si="8"/>
        <v>2.5345264880343628</v>
      </c>
      <c r="T39" s="82">
        <f t="shared" si="1"/>
        <v>75023</v>
      </c>
    </row>
    <row r="40" spans="2:20" ht="15.75">
      <c r="B40" s="60" t="s">
        <v>115</v>
      </c>
      <c r="C40" s="6">
        <v>3790000</v>
      </c>
      <c r="D40" s="6">
        <v>4070075</v>
      </c>
      <c r="E40" s="8">
        <f t="shared" si="11"/>
        <v>1.0738984168865435</v>
      </c>
      <c r="F40" s="6"/>
      <c r="G40" s="48">
        <f t="shared" si="9"/>
        <v>1.0738984168865435</v>
      </c>
      <c r="H40" s="7"/>
      <c r="I40" s="6">
        <v>3900000</v>
      </c>
      <c r="J40" s="6">
        <v>4099971</v>
      </c>
      <c r="K40" s="16">
        <f t="shared" si="10"/>
        <v>1.0512746153846153</v>
      </c>
      <c r="L40" s="6">
        <v>200000</v>
      </c>
      <c r="M40" s="7">
        <v>4376753</v>
      </c>
      <c r="N40" s="7">
        <v>1767959</v>
      </c>
      <c r="O40" s="88">
        <f t="shared" si="4"/>
        <v>0.4039430600721585</v>
      </c>
      <c r="P40" s="7"/>
      <c r="Q40" s="7">
        <f t="shared" si="5"/>
        <v>-2608794</v>
      </c>
      <c r="R40" s="5">
        <f t="shared" si="6"/>
        <v>4376753</v>
      </c>
      <c r="S40" s="109">
        <f t="shared" si="8"/>
        <v>2.475596436342698</v>
      </c>
      <c r="T40" s="82">
        <f t="shared" si="1"/>
        <v>2608794</v>
      </c>
    </row>
    <row r="41" spans="2:20" ht="25.5" customHeight="1">
      <c r="B41" s="62" t="s">
        <v>111</v>
      </c>
      <c r="C41" s="6">
        <v>20334</v>
      </c>
      <c r="D41" s="6">
        <v>20044</v>
      </c>
      <c r="E41" s="8">
        <f t="shared" si="11"/>
        <v>0.9857381725189338</v>
      </c>
      <c r="F41" s="6"/>
      <c r="G41" s="48">
        <f t="shared" si="9"/>
        <v>0.9857381725189338</v>
      </c>
      <c r="H41" s="7"/>
      <c r="I41" s="6">
        <v>20044</v>
      </c>
      <c r="J41" s="6">
        <v>18408</v>
      </c>
      <c r="K41" s="16">
        <f t="shared" si="10"/>
        <v>0.9183795649570944</v>
      </c>
      <c r="L41" s="6"/>
      <c r="M41" s="7">
        <v>19601</v>
      </c>
      <c r="N41" s="7">
        <v>14542</v>
      </c>
      <c r="O41" s="88">
        <f t="shared" si="4"/>
        <v>0.7419009234222744</v>
      </c>
      <c r="P41" s="7"/>
      <c r="Q41" s="7">
        <f t="shared" si="5"/>
        <v>-5059</v>
      </c>
      <c r="R41" s="5">
        <f t="shared" si="6"/>
        <v>19601</v>
      </c>
      <c r="S41" s="109">
        <f t="shared" si="8"/>
        <v>1.3478888736074819</v>
      </c>
      <c r="T41" s="82">
        <f t="shared" si="1"/>
        <v>5059</v>
      </c>
    </row>
    <row r="42" spans="2:20" ht="26.25" hidden="1">
      <c r="B42" s="62" t="s">
        <v>116</v>
      </c>
      <c r="C42" s="6">
        <v>779</v>
      </c>
      <c r="D42" s="6">
        <v>0</v>
      </c>
      <c r="E42" s="16">
        <f t="shared" si="11"/>
        <v>0</v>
      </c>
      <c r="F42" s="6"/>
      <c r="G42" s="48">
        <f t="shared" si="9"/>
        <v>0</v>
      </c>
      <c r="H42" s="7"/>
      <c r="I42" s="6">
        <v>0</v>
      </c>
      <c r="J42" s="6">
        <v>0</v>
      </c>
      <c r="K42" s="16"/>
      <c r="L42" s="6"/>
      <c r="M42" s="7">
        <v>0</v>
      </c>
      <c r="N42" s="7"/>
      <c r="O42" s="88" t="e">
        <f t="shared" si="4"/>
        <v>#DIV/0!</v>
      </c>
      <c r="P42" s="7"/>
      <c r="Q42" s="7">
        <f t="shared" si="5"/>
        <v>0</v>
      </c>
      <c r="R42" s="5">
        <f t="shared" si="6"/>
        <v>0</v>
      </c>
      <c r="S42" s="109"/>
      <c r="T42" s="82">
        <f t="shared" si="1"/>
        <v>0</v>
      </c>
    </row>
    <row r="43" spans="2:20" ht="15.75">
      <c r="B43" s="60" t="s">
        <v>117</v>
      </c>
      <c r="C43" s="6">
        <v>71000</v>
      </c>
      <c r="D43" s="6">
        <v>107975</v>
      </c>
      <c r="E43" s="8">
        <f t="shared" si="11"/>
        <v>1.5207746478873239</v>
      </c>
      <c r="F43" s="6"/>
      <c r="G43" s="48">
        <f t="shared" si="9"/>
        <v>1.5207746478873239</v>
      </c>
      <c r="H43" s="7"/>
      <c r="I43" s="6">
        <v>7975</v>
      </c>
      <c r="J43" s="6">
        <v>6421</v>
      </c>
      <c r="K43" s="16">
        <f>J43/I43</f>
        <v>0.805141065830721</v>
      </c>
      <c r="L43" s="6">
        <v>-1400</v>
      </c>
      <c r="M43" s="7">
        <v>6421</v>
      </c>
      <c r="N43" s="7">
        <v>544</v>
      </c>
      <c r="O43" s="88">
        <f t="shared" si="4"/>
        <v>0.0847220059180813</v>
      </c>
      <c r="P43" s="7"/>
      <c r="Q43" s="7">
        <f t="shared" si="5"/>
        <v>-5877</v>
      </c>
      <c r="R43" s="5">
        <f t="shared" si="6"/>
        <v>6421</v>
      </c>
      <c r="S43" s="109">
        <f aca="true" t="shared" si="12" ref="S43:S60">R43/N43</f>
        <v>11.803308823529411</v>
      </c>
      <c r="T43" s="82">
        <f t="shared" si="1"/>
        <v>5877</v>
      </c>
    </row>
    <row r="44" spans="2:20" ht="26.25">
      <c r="B44" s="62" t="s">
        <v>119</v>
      </c>
      <c r="C44" s="6">
        <v>3999151</v>
      </c>
      <c r="D44" s="6">
        <v>4158225</v>
      </c>
      <c r="E44" s="8">
        <f t="shared" si="11"/>
        <v>1.0397769426560788</v>
      </c>
      <c r="F44" s="6"/>
      <c r="G44" s="48">
        <f t="shared" si="9"/>
        <v>1.0397769426560788</v>
      </c>
      <c r="H44" s="7"/>
      <c r="I44" s="6">
        <v>5794043</v>
      </c>
      <c r="J44" s="6">
        <v>5300081</v>
      </c>
      <c r="K44" s="16">
        <f>J44/I44</f>
        <v>0.9147465767858471</v>
      </c>
      <c r="L44" s="6">
        <v>-490043</v>
      </c>
      <c r="M44" s="7">
        <v>6074161</v>
      </c>
      <c r="N44" s="7">
        <v>292691</v>
      </c>
      <c r="O44" s="88">
        <f t="shared" si="4"/>
        <v>0.04818624333467618</v>
      </c>
      <c r="P44" s="7"/>
      <c r="Q44" s="7">
        <f t="shared" si="5"/>
        <v>-5781470</v>
      </c>
      <c r="R44" s="5">
        <f t="shared" si="6"/>
        <v>6074161</v>
      </c>
      <c r="S44" s="109">
        <f t="shared" si="12"/>
        <v>20.752810984963666</v>
      </c>
      <c r="T44" s="82">
        <f t="shared" si="1"/>
        <v>5781470</v>
      </c>
    </row>
    <row r="45" spans="2:20" ht="14.25" customHeight="1">
      <c r="B45" s="45" t="s">
        <v>36</v>
      </c>
      <c r="C45" s="6">
        <v>28000</v>
      </c>
      <c r="D45" s="6">
        <v>28800</v>
      </c>
      <c r="E45" s="8">
        <f t="shared" si="11"/>
        <v>1.0285714285714285</v>
      </c>
      <c r="F45" s="6"/>
      <c r="G45" s="48">
        <f t="shared" si="9"/>
        <v>1.0285714285714285</v>
      </c>
      <c r="H45" s="7"/>
      <c r="I45" s="6">
        <v>0</v>
      </c>
      <c r="J45" s="6">
        <v>1000</v>
      </c>
      <c r="K45" s="16"/>
      <c r="L45" s="6"/>
      <c r="M45" s="7">
        <v>23825</v>
      </c>
      <c r="N45" s="7">
        <v>24125</v>
      </c>
      <c r="O45" s="88">
        <f t="shared" si="4"/>
        <v>1.012591815320042</v>
      </c>
      <c r="P45" s="7"/>
      <c r="Q45" s="7">
        <f t="shared" si="5"/>
        <v>300</v>
      </c>
      <c r="R45" s="5">
        <f t="shared" si="6"/>
        <v>23825</v>
      </c>
      <c r="S45" s="109">
        <f t="shared" si="12"/>
        <v>0.9875647668393782</v>
      </c>
      <c r="T45" s="82">
        <f t="shared" si="1"/>
        <v>-300</v>
      </c>
    </row>
    <row r="46" spans="2:20" ht="1.5" customHeight="1" hidden="1">
      <c r="B46" s="9"/>
      <c r="C46" s="6">
        <v>0</v>
      </c>
      <c r="D46" s="6"/>
      <c r="E46" s="8"/>
      <c r="F46" s="6"/>
      <c r="G46" s="48" t="e">
        <f t="shared" si="9"/>
        <v>#DIV/0!</v>
      </c>
      <c r="H46" s="7"/>
      <c r="I46" s="6">
        <v>0</v>
      </c>
      <c r="J46" s="6"/>
      <c r="K46" s="16" t="e">
        <f>J46/I46</f>
        <v>#DIV/0!</v>
      </c>
      <c r="L46" s="6"/>
      <c r="M46" s="7">
        <v>0</v>
      </c>
      <c r="N46" s="7"/>
      <c r="O46" s="88" t="e">
        <f t="shared" si="4"/>
        <v>#DIV/0!</v>
      </c>
      <c r="P46" s="7"/>
      <c r="Q46" s="7">
        <f t="shared" si="5"/>
        <v>0</v>
      </c>
      <c r="R46" s="5">
        <f t="shared" si="6"/>
        <v>0</v>
      </c>
      <c r="S46" s="109" t="e">
        <f t="shared" si="12"/>
        <v>#DIV/0!</v>
      </c>
      <c r="T46" s="82">
        <f t="shared" si="1"/>
        <v>0</v>
      </c>
    </row>
    <row r="47" spans="2:20" ht="15.75" hidden="1">
      <c r="B47" s="9"/>
      <c r="C47" s="6">
        <v>0</v>
      </c>
      <c r="D47" s="6"/>
      <c r="E47" s="8"/>
      <c r="F47" s="6"/>
      <c r="G47" s="48" t="e">
        <f t="shared" si="9"/>
        <v>#DIV/0!</v>
      </c>
      <c r="H47" s="7"/>
      <c r="I47" s="6">
        <v>0</v>
      </c>
      <c r="J47" s="6"/>
      <c r="K47" s="16" t="e">
        <f>J47/I47</f>
        <v>#DIV/0!</v>
      </c>
      <c r="L47" s="6"/>
      <c r="M47" s="7">
        <v>0</v>
      </c>
      <c r="N47" s="7"/>
      <c r="O47" s="88" t="e">
        <f t="shared" si="4"/>
        <v>#DIV/0!</v>
      </c>
      <c r="P47" s="7"/>
      <c r="Q47" s="7">
        <f t="shared" si="5"/>
        <v>0</v>
      </c>
      <c r="R47" s="5">
        <f t="shared" si="6"/>
        <v>0</v>
      </c>
      <c r="S47" s="109" t="e">
        <f t="shared" si="12"/>
        <v>#DIV/0!</v>
      </c>
      <c r="T47" s="82">
        <f t="shared" si="1"/>
        <v>0</v>
      </c>
    </row>
    <row r="48" spans="2:20" ht="15.75" hidden="1">
      <c r="B48" s="9" t="s">
        <v>128</v>
      </c>
      <c r="C48" s="6">
        <v>0</v>
      </c>
      <c r="D48" s="6"/>
      <c r="E48" s="8"/>
      <c r="F48" s="6"/>
      <c r="G48" s="48" t="e">
        <f t="shared" si="9"/>
        <v>#DIV/0!</v>
      </c>
      <c r="H48" s="7"/>
      <c r="I48" s="6">
        <v>0</v>
      </c>
      <c r="J48" s="6"/>
      <c r="K48" s="16" t="e">
        <f>J48/I48</f>
        <v>#DIV/0!</v>
      </c>
      <c r="L48" s="6"/>
      <c r="M48" s="7">
        <v>0</v>
      </c>
      <c r="N48" s="7"/>
      <c r="O48" s="88" t="e">
        <f t="shared" si="4"/>
        <v>#DIV/0!</v>
      </c>
      <c r="P48" s="7"/>
      <c r="Q48" s="7">
        <f t="shared" si="5"/>
        <v>0</v>
      </c>
      <c r="R48" s="5">
        <f t="shared" si="6"/>
        <v>0</v>
      </c>
      <c r="S48" s="109" t="e">
        <f t="shared" si="12"/>
        <v>#DIV/0!</v>
      </c>
      <c r="T48" s="82">
        <f t="shared" si="1"/>
        <v>0</v>
      </c>
    </row>
    <row r="49" spans="2:20" ht="15.75" hidden="1">
      <c r="B49" s="62" t="s">
        <v>80</v>
      </c>
      <c r="C49" s="6">
        <v>0</v>
      </c>
      <c r="D49" s="6"/>
      <c r="E49" s="8"/>
      <c r="F49" s="6"/>
      <c r="G49" s="48" t="e">
        <f t="shared" si="9"/>
        <v>#DIV/0!</v>
      </c>
      <c r="H49" s="7"/>
      <c r="I49" s="6">
        <v>0</v>
      </c>
      <c r="J49" s="6"/>
      <c r="K49" s="16" t="e">
        <f>J49/I49</f>
        <v>#DIV/0!</v>
      </c>
      <c r="L49" s="6"/>
      <c r="M49" s="7">
        <v>0</v>
      </c>
      <c r="N49" s="7"/>
      <c r="O49" s="88" t="e">
        <f t="shared" si="4"/>
        <v>#DIV/0!</v>
      </c>
      <c r="P49" s="7"/>
      <c r="Q49" s="7">
        <f t="shared" si="5"/>
        <v>0</v>
      </c>
      <c r="R49" s="5">
        <f t="shared" si="6"/>
        <v>0</v>
      </c>
      <c r="S49" s="109" t="e">
        <f t="shared" si="12"/>
        <v>#DIV/0!</v>
      </c>
      <c r="T49" s="82">
        <f t="shared" si="1"/>
        <v>0</v>
      </c>
    </row>
    <row r="50" spans="2:20" ht="15.75" hidden="1">
      <c r="B50" s="64" t="s">
        <v>137</v>
      </c>
      <c r="C50" s="6">
        <v>0</v>
      </c>
      <c r="D50" s="6">
        <v>0</v>
      </c>
      <c r="E50" s="8" t="e">
        <f aca="true" t="shared" si="13" ref="E50:E55">D50/C50</f>
        <v>#DIV/0!</v>
      </c>
      <c r="F50" s="6"/>
      <c r="G50" s="48"/>
      <c r="H50" s="7"/>
      <c r="I50" s="6">
        <v>0</v>
      </c>
      <c r="J50" s="6">
        <v>0</v>
      </c>
      <c r="K50" s="16"/>
      <c r="L50" s="6"/>
      <c r="M50" s="7">
        <v>0</v>
      </c>
      <c r="N50" s="7"/>
      <c r="O50" s="88" t="e">
        <f t="shared" si="4"/>
        <v>#DIV/0!</v>
      </c>
      <c r="P50" s="7"/>
      <c r="Q50" s="7">
        <f t="shared" si="5"/>
        <v>0</v>
      </c>
      <c r="R50" s="5">
        <f t="shared" si="6"/>
        <v>0</v>
      </c>
      <c r="S50" s="109" t="e">
        <f t="shared" si="12"/>
        <v>#DIV/0!</v>
      </c>
      <c r="T50" s="82">
        <f t="shared" si="1"/>
        <v>0</v>
      </c>
    </row>
    <row r="51" spans="2:20" ht="15.75">
      <c r="B51" s="46" t="s">
        <v>121</v>
      </c>
      <c r="C51" s="6">
        <v>20000</v>
      </c>
      <c r="D51" s="6">
        <v>3788</v>
      </c>
      <c r="E51" s="16">
        <f t="shared" si="13"/>
        <v>0.1894</v>
      </c>
      <c r="F51" s="6"/>
      <c r="G51" s="48">
        <f aca="true" t="shared" si="14" ref="G51:G58">D51/C51</f>
        <v>0.1894</v>
      </c>
      <c r="H51" s="7"/>
      <c r="I51" s="6">
        <v>10000</v>
      </c>
      <c r="J51" s="6">
        <v>312</v>
      </c>
      <c r="K51" s="16">
        <f aca="true" t="shared" si="15" ref="K51:K59">J51/I51</f>
        <v>0.0312</v>
      </c>
      <c r="L51" s="6"/>
      <c r="M51" s="7">
        <v>10000</v>
      </c>
      <c r="N51" s="7">
        <v>392</v>
      </c>
      <c r="O51" s="88">
        <f t="shared" si="4"/>
        <v>0.0392</v>
      </c>
      <c r="P51" s="7"/>
      <c r="Q51" s="7">
        <f t="shared" si="5"/>
        <v>-9608</v>
      </c>
      <c r="R51" s="5">
        <f t="shared" si="6"/>
        <v>10000</v>
      </c>
      <c r="S51" s="109">
        <f t="shared" si="12"/>
        <v>25.510204081632654</v>
      </c>
      <c r="T51" s="82">
        <f t="shared" si="1"/>
        <v>9608</v>
      </c>
    </row>
    <row r="52" spans="2:20" ht="15.75" hidden="1">
      <c r="B52" s="62" t="s">
        <v>54</v>
      </c>
      <c r="C52" s="39">
        <v>0</v>
      </c>
      <c r="D52" s="6"/>
      <c r="E52" s="8" t="e">
        <f t="shared" si="13"/>
        <v>#DIV/0!</v>
      </c>
      <c r="F52" s="6"/>
      <c r="G52" s="48" t="e">
        <f t="shared" si="14"/>
        <v>#DIV/0!</v>
      </c>
      <c r="H52" s="7"/>
      <c r="I52" s="6">
        <v>0</v>
      </c>
      <c r="J52" s="6"/>
      <c r="K52" s="16" t="e">
        <f t="shared" si="15"/>
        <v>#DIV/0!</v>
      </c>
      <c r="L52" s="6"/>
      <c r="M52" s="7">
        <v>0</v>
      </c>
      <c r="N52" s="120"/>
      <c r="O52" s="88" t="e">
        <f t="shared" si="4"/>
        <v>#DIV/0!</v>
      </c>
      <c r="P52" s="7"/>
      <c r="Q52" s="7">
        <f t="shared" si="5"/>
        <v>0</v>
      </c>
      <c r="R52" s="5">
        <f t="shared" si="6"/>
        <v>0</v>
      </c>
      <c r="S52" s="109" t="e">
        <f t="shared" si="12"/>
        <v>#DIV/0!</v>
      </c>
      <c r="T52" s="82">
        <f t="shared" si="1"/>
        <v>0</v>
      </c>
    </row>
    <row r="53" spans="2:20" ht="15" customHeight="1">
      <c r="B53" s="9" t="s">
        <v>122</v>
      </c>
      <c r="C53" s="6">
        <v>2303000</v>
      </c>
      <c r="D53" s="6">
        <v>2124052</v>
      </c>
      <c r="E53" s="8">
        <f t="shared" si="13"/>
        <v>0.9222978723404255</v>
      </c>
      <c r="F53" s="6"/>
      <c r="G53" s="48">
        <f t="shared" si="14"/>
        <v>0.9222978723404255</v>
      </c>
      <c r="H53" s="7"/>
      <c r="I53" s="6">
        <v>2615000</v>
      </c>
      <c r="J53" s="6">
        <v>2387000</v>
      </c>
      <c r="K53" s="16">
        <f t="shared" si="15"/>
        <v>0.912810707456979</v>
      </c>
      <c r="L53" s="6"/>
      <c r="M53" s="7">
        <v>3905000</v>
      </c>
      <c r="N53" s="7">
        <v>1200000</v>
      </c>
      <c r="O53" s="88">
        <f t="shared" si="4"/>
        <v>0.3072983354673495</v>
      </c>
      <c r="P53" s="7">
        <v>-750000</v>
      </c>
      <c r="Q53" s="7">
        <f t="shared" si="5"/>
        <v>-2705000</v>
      </c>
      <c r="R53" s="5">
        <f t="shared" si="6"/>
        <v>3155000</v>
      </c>
      <c r="S53" s="109">
        <f t="shared" si="12"/>
        <v>2.629166666666667</v>
      </c>
      <c r="T53" s="82">
        <f t="shared" si="1"/>
        <v>1955000</v>
      </c>
    </row>
    <row r="54" spans="2:20" ht="15.75" hidden="1">
      <c r="B54" s="62"/>
      <c r="C54" s="6">
        <v>0</v>
      </c>
      <c r="D54" s="6"/>
      <c r="E54" s="8" t="e">
        <f t="shared" si="13"/>
        <v>#DIV/0!</v>
      </c>
      <c r="F54" s="6"/>
      <c r="G54" s="48" t="e">
        <f t="shared" si="14"/>
        <v>#DIV/0!</v>
      </c>
      <c r="H54" s="7"/>
      <c r="I54" s="6">
        <v>0</v>
      </c>
      <c r="J54" s="6"/>
      <c r="K54" s="16" t="e">
        <f t="shared" si="15"/>
        <v>#DIV/0!</v>
      </c>
      <c r="L54" s="6"/>
      <c r="M54" s="7">
        <v>0</v>
      </c>
      <c r="N54" s="7"/>
      <c r="O54" s="88" t="e">
        <f t="shared" si="4"/>
        <v>#DIV/0!</v>
      </c>
      <c r="P54" s="7"/>
      <c r="Q54" s="7">
        <f t="shared" si="5"/>
        <v>0</v>
      </c>
      <c r="R54" s="5">
        <f t="shared" si="6"/>
        <v>0</v>
      </c>
      <c r="S54" s="109" t="e">
        <f t="shared" si="12"/>
        <v>#DIV/0!</v>
      </c>
      <c r="T54" s="82">
        <f t="shared" si="1"/>
        <v>0</v>
      </c>
    </row>
    <row r="55" spans="2:20" ht="6" customHeight="1" hidden="1">
      <c r="B55" s="60" t="s">
        <v>74</v>
      </c>
      <c r="C55" s="6">
        <v>0</v>
      </c>
      <c r="D55" s="6"/>
      <c r="E55" s="8" t="e">
        <f t="shared" si="13"/>
        <v>#DIV/0!</v>
      </c>
      <c r="F55" s="6"/>
      <c r="G55" s="48" t="e">
        <f t="shared" si="14"/>
        <v>#DIV/0!</v>
      </c>
      <c r="H55" s="7"/>
      <c r="I55" s="6">
        <v>0</v>
      </c>
      <c r="J55" s="6"/>
      <c r="K55" s="16" t="e">
        <f t="shared" si="15"/>
        <v>#DIV/0!</v>
      </c>
      <c r="L55" s="6"/>
      <c r="M55" s="7">
        <v>0</v>
      </c>
      <c r="N55" s="7"/>
      <c r="O55" s="88" t="e">
        <f t="shared" si="4"/>
        <v>#DIV/0!</v>
      </c>
      <c r="P55" s="7"/>
      <c r="Q55" s="7">
        <f t="shared" si="5"/>
        <v>0</v>
      </c>
      <c r="R55" s="5">
        <f t="shared" si="6"/>
        <v>0</v>
      </c>
      <c r="S55" s="109" t="e">
        <f t="shared" si="12"/>
        <v>#DIV/0!</v>
      </c>
      <c r="T55" s="82">
        <f t="shared" si="1"/>
        <v>0</v>
      </c>
    </row>
    <row r="56" spans="2:20" ht="15.75" hidden="1">
      <c r="B56" s="9" t="s">
        <v>72</v>
      </c>
      <c r="C56" s="6">
        <v>0</v>
      </c>
      <c r="D56" s="6"/>
      <c r="E56" s="8"/>
      <c r="F56" s="6"/>
      <c r="G56" s="48" t="e">
        <f t="shared" si="14"/>
        <v>#DIV/0!</v>
      </c>
      <c r="H56" s="7"/>
      <c r="I56" s="6">
        <v>0</v>
      </c>
      <c r="J56" s="6"/>
      <c r="K56" s="16" t="e">
        <f t="shared" si="15"/>
        <v>#DIV/0!</v>
      </c>
      <c r="L56" s="6"/>
      <c r="M56" s="7">
        <v>0</v>
      </c>
      <c r="N56" s="7"/>
      <c r="O56" s="88" t="e">
        <f t="shared" si="4"/>
        <v>#DIV/0!</v>
      </c>
      <c r="P56" s="7"/>
      <c r="Q56" s="7">
        <f t="shared" si="5"/>
        <v>0</v>
      </c>
      <c r="R56" s="5">
        <f t="shared" si="6"/>
        <v>0</v>
      </c>
      <c r="S56" s="109" t="e">
        <f t="shared" si="12"/>
        <v>#DIV/0!</v>
      </c>
      <c r="T56" s="82">
        <f t="shared" si="1"/>
        <v>0</v>
      </c>
    </row>
    <row r="57" spans="2:20" ht="15" customHeight="1">
      <c r="B57" s="60" t="s">
        <v>118</v>
      </c>
      <c r="C57" s="6">
        <v>506000</v>
      </c>
      <c r="D57" s="6">
        <v>540920</v>
      </c>
      <c r="E57" s="8">
        <f>D57/C57</f>
        <v>1.0690118577075098</v>
      </c>
      <c r="F57" s="6"/>
      <c r="G57" s="48">
        <f t="shared" si="14"/>
        <v>1.0690118577075098</v>
      </c>
      <c r="H57" s="7"/>
      <c r="I57" s="6">
        <v>560000</v>
      </c>
      <c r="J57" s="6">
        <v>578741</v>
      </c>
      <c r="K57" s="16">
        <f t="shared" si="15"/>
        <v>1.0334660714285715</v>
      </c>
      <c r="L57" s="6">
        <v>20000</v>
      </c>
      <c r="M57" s="7">
        <v>300000</v>
      </c>
      <c r="N57" s="7">
        <v>168882</v>
      </c>
      <c r="O57" s="88">
        <f t="shared" si="4"/>
        <v>0.56294</v>
      </c>
      <c r="P57" s="7"/>
      <c r="Q57" s="7">
        <f t="shared" si="5"/>
        <v>-131118</v>
      </c>
      <c r="R57" s="5">
        <f t="shared" si="6"/>
        <v>300000</v>
      </c>
      <c r="S57" s="109">
        <f t="shared" si="12"/>
        <v>1.7763882474153552</v>
      </c>
      <c r="T57" s="82">
        <f t="shared" si="1"/>
        <v>131118</v>
      </c>
    </row>
    <row r="58" spans="2:20" ht="1.5" customHeight="1" hidden="1">
      <c r="B58" s="45" t="s">
        <v>61</v>
      </c>
      <c r="C58" s="6">
        <v>0</v>
      </c>
      <c r="D58" s="6"/>
      <c r="E58" s="8" t="e">
        <f>D58/C58</f>
        <v>#DIV/0!</v>
      </c>
      <c r="F58" s="6"/>
      <c r="G58" s="48" t="e">
        <f t="shared" si="14"/>
        <v>#DIV/0!</v>
      </c>
      <c r="H58" s="7"/>
      <c r="I58" s="6">
        <v>0</v>
      </c>
      <c r="J58" s="6"/>
      <c r="K58" s="16" t="e">
        <f t="shared" si="15"/>
        <v>#DIV/0!</v>
      </c>
      <c r="L58" s="6"/>
      <c r="M58" s="7">
        <v>0</v>
      </c>
      <c r="N58" s="7"/>
      <c r="O58" s="88" t="e">
        <f t="shared" si="4"/>
        <v>#DIV/0!</v>
      </c>
      <c r="P58" s="7"/>
      <c r="Q58" s="7">
        <f t="shared" si="5"/>
        <v>0</v>
      </c>
      <c r="R58" s="5">
        <f t="shared" si="6"/>
        <v>0</v>
      </c>
      <c r="S58" s="109" t="e">
        <f t="shared" si="12"/>
        <v>#DIV/0!</v>
      </c>
      <c r="T58" s="82">
        <f t="shared" si="1"/>
        <v>0</v>
      </c>
    </row>
    <row r="59" spans="2:20" ht="15.75" hidden="1">
      <c r="B59" s="45" t="s">
        <v>136</v>
      </c>
      <c r="C59" s="6">
        <v>0</v>
      </c>
      <c r="D59" s="6"/>
      <c r="E59" s="8"/>
      <c r="F59" s="6"/>
      <c r="G59" s="48"/>
      <c r="H59" s="7"/>
      <c r="I59" s="6">
        <v>0</v>
      </c>
      <c r="J59" s="6"/>
      <c r="K59" s="16" t="e">
        <f t="shared" si="15"/>
        <v>#DIV/0!</v>
      </c>
      <c r="L59" s="6"/>
      <c r="M59" s="7">
        <v>0</v>
      </c>
      <c r="N59" s="7"/>
      <c r="O59" s="88" t="e">
        <f t="shared" si="4"/>
        <v>#DIV/0!</v>
      </c>
      <c r="P59" s="7"/>
      <c r="Q59" s="7">
        <f t="shared" si="5"/>
        <v>0</v>
      </c>
      <c r="R59" s="5">
        <f t="shared" si="6"/>
        <v>0</v>
      </c>
      <c r="S59" s="109" t="e">
        <f t="shared" si="12"/>
        <v>#DIV/0!</v>
      </c>
      <c r="T59" s="82">
        <f t="shared" si="1"/>
        <v>0</v>
      </c>
    </row>
    <row r="60" spans="2:20" ht="6" customHeight="1" hidden="1">
      <c r="B60" s="62" t="s">
        <v>134</v>
      </c>
      <c r="C60" s="6">
        <v>126000</v>
      </c>
      <c r="D60" s="6">
        <v>125907</v>
      </c>
      <c r="E60" s="8">
        <f aca="true" t="shared" si="16" ref="E60:E67">D60/C60</f>
        <v>0.9992619047619048</v>
      </c>
      <c r="F60" s="6"/>
      <c r="G60" s="48">
        <f aca="true" t="shared" si="17" ref="G60:G65">D60/C60</f>
        <v>0.9992619047619048</v>
      </c>
      <c r="H60" s="7"/>
      <c r="I60" s="6">
        <v>0</v>
      </c>
      <c r="J60" s="6">
        <v>0</v>
      </c>
      <c r="K60" s="16"/>
      <c r="L60" s="6"/>
      <c r="M60" s="7">
        <v>0</v>
      </c>
      <c r="N60" s="7"/>
      <c r="O60" s="88" t="e">
        <f t="shared" si="4"/>
        <v>#DIV/0!</v>
      </c>
      <c r="P60" s="7"/>
      <c r="Q60" s="7">
        <f t="shared" si="5"/>
        <v>0</v>
      </c>
      <c r="R60" s="5">
        <f t="shared" si="6"/>
        <v>0</v>
      </c>
      <c r="S60" s="109" t="e">
        <f t="shared" si="12"/>
        <v>#DIV/0!</v>
      </c>
      <c r="T60" s="82">
        <f t="shared" si="1"/>
        <v>0</v>
      </c>
    </row>
    <row r="61" spans="2:20" ht="17.25" customHeight="1" hidden="1">
      <c r="B61" s="47" t="s">
        <v>120</v>
      </c>
      <c r="C61" s="6">
        <v>275000</v>
      </c>
      <c r="D61" s="6">
        <v>275000</v>
      </c>
      <c r="E61" s="16">
        <f t="shared" si="16"/>
        <v>1</v>
      </c>
      <c r="F61" s="6"/>
      <c r="G61" s="48">
        <f t="shared" si="17"/>
        <v>1</v>
      </c>
      <c r="H61" s="7"/>
      <c r="I61" s="6">
        <v>0</v>
      </c>
      <c r="J61" s="6">
        <v>0</v>
      </c>
      <c r="K61" s="16"/>
      <c r="L61" s="6"/>
      <c r="M61" s="7">
        <v>0</v>
      </c>
      <c r="N61" s="7"/>
      <c r="O61" s="88"/>
      <c r="P61" s="7"/>
      <c r="Q61" s="7">
        <f t="shared" si="5"/>
        <v>0</v>
      </c>
      <c r="R61" s="5">
        <f t="shared" si="6"/>
        <v>0</v>
      </c>
      <c r="S61" s="109"/>
      <c r="T61" s="82">
        <f t="shared" si="1"/>
        <v>0</v>
      </c>
    </row>
    <row r="62" spans="2:20" ht="1.5" customHeight="1" hidden="1">
      <c r="B62" s="47" t="s">
        <v>82</v>
      </c>
      <c r="C62" s="6">
        <v>0</v>
      </c>
      <c r="D62" s="6"/>
      <c r="E62" s="16" t="e">
        <f t="shared" si="16"/>
        <v>#DIV/0!</v>
      </c>
      <c r="F62" s="6"/>
      <c r="G62" s="48" t="e">
        <f t="shared" si="17"/>
        <v>#DIV/0!</v>
      </c>
      <c r="H62" s="7"/>
      <c r="I62" s="6">
        <v>0</v>
      </c>
      <c r="J62" s="6"/>
      <c r="K62" s="16" t="e">
        <f>J62/I62</f>
        <v>#DIV/0!</v>
      </c>
      <c r="L62" s="6"/>
      <c r="M62" s="7">
        <v>0</v>
      </c>
      <c r="N62" s="7"/>
      <c r="O62" s="88" t="e">
        <f t="shared" si="4"/>
        <v>#DIV/0!</v>
      </c>
      <c r="P62" s="7"/>
      <c r="Q62" s="7">
        <f t="shared" si="5"/>
        <v>0</v>
      </c>
      <c r="R62" s="5">
        <f t="shared" si="6"/>
        <v>0</v>
      </c>
      <c r="S62" s="109"/>
      <c r="T62" s="82">
        <f t="shared" si="1"/>
        <v>0</v>
      </c>
    </row>
    <row r="63" spans="2:20" ht="15.75" hidden="1">
      <c r="B63" s="47" t="s">
        <v>142</v>
      </c>
      <c r="C63" s="6">
        <v>505000</v>
      </c>
      <c r="D63" s="6">
        <v>443182</v>
      </c>
      <c r="E63" s="16">
        <f t="shared" si="16"/>
        <v>0.8775881188118811</v>
      </c>
      <c r="F63" s="6"/>
      <c r="G63" s="48">
        <f t="shared" si="17"/>
        <v>0.8775881188118811</v>
      </c>
      <c r="H63" s="7"/>
      <c r="I63" s="6">
        <v>0</v>
      </c>
      <c r="J63" s="6">
        <v>0</v>
      </c>
      <c r="K63" s="16"/>
      <c r="L63" s="6"/>
      <c r="M63" s="7">
        <v>0</v>
      </c>
      <c r="N63" s="7"/>
      <c r="O63" s="88" t="e">
        <f t="shared" si="4"/>
        <v>#DIV/0!</v>
      </c>
      <c r="P63" s="7"/>
      <c r="Q63" s="7">
        <f t="shared" si="5"/>
        <v>0</v>
      </c>
      <c r="R63" s="5">
        <f t="shared" si="6"/>
        <v>0</v>
      </c>
      <c r="S63" s="109"/>
      <c r="T63" s="82">
        <f t="shared" si="1"/>
        <v>0</v>
      </c>
    </row>
    <row r="64" spans="2:20" ht="26.25">
      <c r="B64" s="47" t="s">
        <v>165</v>
      </c>
      <c r="C64" s="6">
        <v>250000</v>
      </c>
      <c r="D64" s="6">
        <v>0</v>
      </c>
      <c r="E64" s="16">
        <f t="shared" si="16"/>
        <v>0</v>
      </c>
      <c r="F64" s="6"/>
      <c r="G64" s="48">
        <f t="shared" si="17"/>
        <v>0</v>
      </c>
      <c r="H64" s="7"/>
      <c r="I64" s="6">
        <v>0</v>
      </c>
      <c r="J64" s="6">
        <v>0</v>
      </c>
      <c r="K64" s="16"/>
      <c r="L64" s="6"/>
      <c r="M64" s="7">
        <v>60000</v>
      </c>
      <c r="N64" s="7">
        <v>0</v>
      </c>
      <c r="O64" s="88">
        <f t="shared" si="4"/>
        <v>0</v>
      </c>
      <c r="P64" s="7"/>
      <c r="Q64" s="7">
        <f t="shared" si="5"/>
        <v>-60000</v>
      </c>
      <c r="R64" s="5">
        <f t="shared" si="6"/>
        <v>60000</v>
      </c>
      <c r="S64" s="109"/>
      <c r="T64" s="82">
        <f t="shared" si="1"/>
        <v>60000</v>
      </c>
    </row>
    <row r="65" spans="2:20" ht="14.25" customHeight="1">
      <c r="B65" s="45" t="s">
        <v>103</v>
      </c>
      <c r="C65" s="6">
        <v>104666930</v>
      </c>
      <c r="D65" s="6">
        <v>104151194</v>
      </c>
      <c r="E65" s="8">
        <f t="shared" si="16"/>
        <v>0.995072598384227</v>
      </c>
      <c r="F65" s="6"/>
      <c r="G65" s="48">
        <f t="shared" si="17"/>
        <v>0.995072598384227</v>
      </c>
      <c r="H65" s="7"/>
      <c r="I65" s="6">
        <v>129000500</v>
      </c>
      <c r="J65" s="6">
        <v>113358586</v>
      </c>
      <c r="K65" s="16">
        <f>J65/I65</f>
        <v>0.8787453226925477</v>
      </c>
      <c r="L65" s="6"/>
      <c r="M65" s="7">
        <v>34372000</v>
      </c>
      <c r="N65" s="7">
        <v>14333142</v>
      </c>
      <c r="O65" s="88">
        <f t="shared" si="4"/>
        <v>0.4170005236820668</v>
      </c>
      <c r="P65" s="7"/>
      <c r="Q65" s="7">
        <f t="shared" si="5"/>
        <v>-20038858</v>
      </c>
      <c r="R65" s="5">
        <f t="shared" si="6"/>
        <v>34372000</v>
      </c>
      <c r="S65" s="109">
        <f>R65/N65</f>
        <v>2.398078523187728</v>
      </c>
      <c r="T65" s="82">
        <f t="shared" si="1"/>
        <v>20038858</v>
      </c>
    </row>
    <row r="66" spans="2:20" ht="15.75">
      <c r="B66" s="45" t="s">
        <v>166</v>
      </c>
      <c r="C66" s="6">
        <v>135000</v>
      </c>
      <c r="D66" s="50">
        <v>0</v>
      </c>
      <c r="E66" s="8">
        <f t="shared" si="16"/>
        <v>0</v>
      </c>
      <c r="F66" s="7"/>
      <c r="G66" s="48"/>
      <c r="H66" s="7"/>
      <c r="I66" s="6">
        <v>135000</v>
      </c>
      <c r="J66" s="6">
        <v>0</v>
      </c>
      <c r="K66" s="16">
        <f>J66/I66</f>
        <v>0</v>
      </c>
      <c r="L66" s="6"/>
      <c r="M66" s="7">
        <v>193000</v>
      </c>
      <c r="N66" s="7">
        <v>100000</v>
      </c>
      <c r="O66" s="88">
        <f t="shared" si="4"/>
        <v>0.5181347150259067</v>
      </c>
      <c r="P66" s="7"/>
      <c r="Q66" s="7">
        <f t="shared" si="5"/>
        <v>-93000</v>
      </c>
      <c r="R66" s="5">
        <f t="shared" si="6"/>
        <v>193000</v>
      </c>
      <c r="S66" s="109"/>
      <c r="T66" s="82">
        <f t="shared" si="1"/>
        <v>93000</v>
      </c>
    </row>
    <row r="67" spans="2:20" ht="25.5" customHeight="1">
      <c r="B67" s="77" t="s">
        <v>135</v>
      </c>
      <c r="C67" s="10">
        <v>-16652955</v>
      </c>
      <c r="D67" s="10">
        <v>-16611762</v>
      </c>
      <c r="E67" s="52">
        <f t="shared" si="16"/>
        <v>0.997526384956904</v>
      </c>
      <c r="F67" s="10"/>
      <c r="G67" s="78">
        <f>D67/C67</f>
        <v>0.997526384956904</v>
      </c>
      <c r="H67" s="10"/>
      <c r="I67" s="10">
        <v>0</v>
      </c>
      <c r="J67" s="10"/>
      <c r="K67" s="52"/>
      <c r="L67" s="10"/>
      <c r="M67" s="10">
        <v>-4503773</v>
      </c>
      <c r="N67" s="10">
        <v>0</v>
      </c>
      <c r="O67" s="52">
        <f t="shared" si="4"/>
        <v>0</v>
      </c>
      <c r="P67" s="10">
        <f>-56722-8559</f>
        <v>-65281</v>
      </c>
      <c r="Q67" s="10">
        <f t="shared" si="5"/>
        <v>4503773</v>
      </c>
      <c r="R67" s="10">
        <f t="shared" si="6"/>
        <v>-4569054</v>
      </c>
      <c r="S67" s="110"/>
      <c r="T67" s="86">
        <f t="shared" si="1"/>
        <v>-4569054</v>
      </c>
    </row>
    <row r="68" spans="2:20" ht="15.75" hidden="1">
      <c r="B68" s="60" t="s">
        <v>63</v>
      </c>
      <c r="C68" s="6">
        <v>0</v>
      </c>
      <c r="D68" s="6"/>
      <c r="E68" s="8"/>
      <c r="F68" s="7"/>
      <c r="G68" s="48" t="e">
        <f>D68/C68</f>
        <v>#DIV/0!</v>
      </c>
      <c r="H68" s="7"/>
      <c r="I68" s="6">
        <f>C68+F68</f>
        <v>0</v>
      </c>
      <c r="J68" s="6"/>
      <c r="K68" s="16"/>
      <c r="L68" s="6"/>
      <c r="M68" s="8"/>
      <c r="N68" s="8"/>
      <c r="O68" s="8" t="e">
        <f t="shared" si="4"/>
        <v>#DIV/0!</v>
      </c>
      <c r="P68" s="8"/>
      <c r="Q68" s="7">
        <f t="shared" si="5"/>
        <v>0</v>
      </c>
      <c r="R68" s="7">
        <f t="shared" si="6"/>
        <v>0</v>
      </c>
      <c r="S68" s="69" t="e">
        <f>R68/N68</f>
        <v>#DIV/0!</v>
      </c>
      <c r="T68" s="68">
        <f t="shared" si="1"/>
        <v>0</v>
      </c>
    </row>
    <row r="69" spans="2:21" ht="20.25">
      <c r="B69" s="72" t="s">
        <v>83</v>
      </c>
      <c r="C69" s="70">
        <f>C70-C10-C51-C53-C56-C58-C62-C65-C61-C67-C45-C64-C9-C48-C63</f>
        <v>133249656</v>
      </c>
      <c r="D69" s="70">
        <f>D70-D10-D51-D53-D56-D58-D62-D65-D61-D67-D45-D64-D9-D48-D63</f>
        <v>136194581</v>
      </c>
      <c r="E69" s="79">
        <f>D69/C69</f>
        <v>1.0221008075247864</v>
      </c>
      <c r="F69" s="70">
        <f>F70-F10-F51-F53-F56-F58-F62-F65-F61-F45-F67-F64-F9-F48-F63</f>
        <v>0</v>
      </c>
      <c r="G69" s="80">
        <f>D69/C69</f>
        <v>1.0221008075247864</v>
      </c>
      <c r="H69" s="70">
        <f>H70-H10-H51-H53-H56-H58-H62-H65-H61-H67-H48-H64-H9-H63-H45-H59</f>
        <v>0</v>
      </c>
      <c r="I69" s="70">
        <f>I8+I11+I12+I13+I14+I18+I19+I20+I21+I22+I24+I25+I26+I27+I34+I35+I36+I38+I39+I40+I41+I42+I43+I44+I50+I57+I60+I15+I16+I17+I67</f>
        <v>142546876</v>
      </c>
      <c r="J69" s="70">
        <f>J8+J11+J12+J13+J14+J18+J19+J20+J21+J22+J24+J25+J26+J27+J34+J35+J36+J38+J39+J40+J41+J42+J43+J44+J50+J57+J60+J15+J16+J17+J67</f>
        <v>138158714</v>
      </c>
      <c r="K69" s="79">
        <f>J69/I69</f>
        <v>0.9692160072311932</v>
      </c>
      <c r="L69" s="70">
        <f>L8+L11+L12+L13+L14+L18+L19+L20+L21+L22+L24+L25+L26+L27+L34+L35+L36+L38+L39+L40+L41+L42+L43+L44+L50+L57+L60+L15+L16+L17+L67</f>
        <v>150000</v>
      </c>
      <c r="M69" s="70">
        <f>M8+M11+M12+M13+M14+M18+M19+M20+M21+M22+M24+M25+M26+M27+M34+M35+M36+M38+M39+M40+M41+M42+M43+M44+M50+M57+M60+M15+M16+M17+M67+M7</f>
        <v>125041047.6</v>
      </c>
      <c r="N69" s="70">
        <f>N8+N11+N12+N13+N14+N18+N19+N20+N21+N22+N24+N25+N26+N27+N34+N35+N36+N38+N39+N40+N41+N42+N43+N44+N50+N57+N60+N15+N16+N17+N67+N7</f>
        <v>71285002</v>
      </c>
      <c r="O69" s="118">
        <f t="shared" si="4"/>
        <v>0.5700928084674812</v>
      </c>
      <c r="P69" s="70">
        <f>P8+P11+P12+P13+P14+P18+P19+P20+P21+P22+P24+P25+P26+P27+P34+P35+P36+P38+P39+P40+P41+P42+P43+P44+P50+P57+P60+P15+P16+P17+P67+P7</f>
        <v>-50403</v>
      </c>
      <c r="Q69" s="70">
        <f>Q8+Q11+Q12+Q13+Q14+Q18+Q19+Q20+Q21+Q22+Q24+Q25+Q26+Q27+Q34+Q35+Q36+Q38+Q39+Q40+Q41+Q42+Q43+Q44+Q50+Q57+Q60+Q15+Q16+Q17+Q67+Q7</f>
        <v>-52793527.6</v>
      </c>
      <c r="R69" s="70">
        <f>R8+R11+R12+R13+R14+R18+R19+R20+R21+R22+R24+R25+R26+R27+R34+R35+R36+R38+R39+R40+R41+R42+R43+R44+R50+R57+R60+R15+R16+R17+R67+R7</f>
        <v>124990644.6</v>
      </c>
      <c r="S69" s="79">
        <f>R69/N69</f>
        <v>1.7533932958296052</v>
      </c>
      <c r="T69" s="70">
        <f t="shared" si="1"/>
        <v>53705642.599999994</v>
      </c>
      <c r="U69" s="61"/>
    </row>
    <row r="70" spans="2:21" ht="29.25" customHeight="1" thickBot="1">
      <c r="B70" s="72" t="s">
        <v>0</v>
      </c>
      <c r="C70" s="81">
        <f>SUM(C7:C68)</f>
        <v>226113631</v>
      </c>
      <c r="D70" s="81">
        <f>SUM(D7:D68)</f>
        <v>228067537</v>
      </c>
      <c r="E70" s="79">
        <f>D70/C70</f>
        <v>1.0086412570147087</v>
      </c>
      <c r="F70" s="70">
        <f>SUM(F7:F68)</f>
        <v>0</v>
      </c>
      <c r="G70" s="80">
        <f>D70/C70</f>
        <v>1.0086412570147087</v>
      </c>
      <c r="H70" s="70">
        <f>SUM(H7:H68)</f>
        <v>0</v>
      </c>
      <c r="I70" s="70">
        <f>SUM(I7:I68)</f>
        <v>275745376</v>
      </c>
      <c r="J70" s="70">
        <f>SUM(J7:J68)</f>
        <v>255259534</v>
      </c>
      <c r="K70" s="79">
        <f>J70/I70</f>
        <v>0.9257073960870336</v>
      </c>
      <c r="L70" s="70">
        <f>SUM(L7:L68)</f>
        <v>150000</v>
      </c>
      <c r="M70" s="70">
        <f>SUM(M7:M68)</f>
        <v>163604872.6</v>
      </c>
      <c r="N70" s="70">
        <f>SUM(N7:N68)</f>
        <v>86942661</v>
      </c>
      <c r="O70" s="118">
        <f t="shared" si="4"/>
        <v>0.5314185306238856</v>
      </c>
      <c r="P70" s="70">
        <f>SUM(P7:P68)</f>
        <v>-800403</v>
      </c>
      <c r="Q70" s="70">
        <f>SUM(Q7:Q68)</f>
        <v>-75699693.6</v>
      </c>
      <c r="R70" s="70">
        <f>SUM(R7:R68)</f>
        <v>162804469.6</v>
      </c>
      <c r="S70" s="79">
        <f>R70/N70</f>
        <v>1.8725498820423727</v>
      </c>
      <c r="T70" s="70">
        <f t="shared" si="1"/>
        <v>75861808.6</v>
      </c>
      <c r="U70" s="61"/>
    </row>
    <row r="71" spans="2:20" ht="0.75" customHeight="1" hidden="1" thickBot="1">
      <c r="B71" s="72" t="s">
        <v>66</v>
      </c>
      <c r="C71" s="81"/>
      <c r="D71" s="70"/>
      <c r="E71" s="68"/>
      <c r="F71" s="69"/>
      <c r="G71" s="69"/>
      <c r="H71" s="69"/>
      <c r="I71" s="65"/>
      <c r="J71" s="65"/>
      <c r="K71" s="65"/>
      <c r="L71" s="65"/>
      <c r="M71" s="71" t="e">
        <f>I71/C71</f>
        <v>#DIV/0!</v>
      </c>
      <c r="N71" s="119"/>
      <c r="O71" s="119"/>
      <c r="P71" s="71"/>
      <c r="Q71" s="71"/>
      <c r="R71" s="7"/>
      <c r="S71" s="69"/>
      <c r="T71" s="63"/>
    </row>
    <row r="72" spans="2:20" ht="21" hidden="1" thickBot="1">
      <c r="B72" s="72" t="s">
        <v>64</v>
      </c>
      <c r="C72" s="81"/>
      <c r="D72" s="70"/>
      <c r="E72" s="68"/>
      <c r="F72" s="69"/>
      <c r="G72" s="69"/>
      <c r="H72" s="69"/>
      <c r="I72" s="65"/>
      <c r="J72" s="65"/>
      <c r="K72" s="65"/>
      <c r="L72" s="65"/>
      <c r="M72" s="71" t="e">
        <f>I72/C72</f>
        <v>#DIV/0!</v>
      </c>
      <c r="N72" s="119"/>
      <c r="O72" s="119"/>
      <c r="P72" s="71"/>
      <c r="Q72" s="71"/>
      <c r="R72" s="7"/>
      <c r="S72" s="69"/>
      <c r="T72" s="63"/>
    </row>
    <row r="73" spans="2:20" ht="21" hidden="1" thickBot="1">
      <c r="B73" s="107" t="s">
        <v>65</v>
      </c>
      <c r="C73" s="81"/>
      <c r="D73" s="70"/>
      <c r="E73" s="68"/>
      <c r="F73" s="69"/>
      <c r="G73" s="69"/>
      <c r="H73" s="69"/>
      <c r="I73" s="65"/>
      <c r="J73" s="65"/>
      <c r="K73" s="65"/>
      <c r="L73" s="65"/>
      <c r="M73" s="71" t="e">
        <f>I73/C73</f>
        <v>#DIV/0!</v>
      </c>
      <c r="N73" s="119"/>
      <c r="O73" s="119"/>
      <c r="P73" s="71"/>
      <c r="Q73" s="71"/>
      <c r="R73" s="7"/>
      <c r="S73" s="69"/>
      <c r="T73" s="63"/>
    </row>
    <row r="74" spans="2:20" ht="87.75" customHeight="1" thickBot="1">
      <c r="B74" s="108" t="s">
        <v>39</v>
      </c>
      <c r="C74" s="106" t="s">
        <v>140</v>
      </c>
      <c r="D74" s="73" t="s">
        <v>146</v>
      </c>
      <c r="E74" s="74" t="s">
        <v>86</v>
      </c>
      <c r="F74" s="75" t="s">
        <v>127</v>
      </c>
      <c r="G74" s="75" t="s">
        <v>86</v>
      </c>
      <c r="H74" s="75" t="s">
        <v>141</v>
      </c>
      <c r="I74" s="76" t="s">
        <v>147</v>
      </c>
      <c r="J74" s="76" t="s">
        <v>151</v>
      </c>
      <c r="K74" s="76" t="s">
        <v>86</v>
      </c>
      <c r="L74" s="76" t="s">
        <v>148</v>
      </c>
      <c r="M74" s="99" t="s">
        <v>162</v>
      </c>
      <c r="N74" s="99" t="s">
        <v>168</v>
      </c>
      <c r="O74" s="99" t="s">
        <v>164</v>
      </c>
      <c r="P74" s="115" t="s">
        <v>161</v>
      </c>
      <c r="Q74" s="100"/>
      <c r="R74" s="99" t="s">
        <v>163</v>
      </c>
      <c r="S74" s="103" t="s">
        <v>154</v>
      </c>
      <c r="T74" s="104" t="s">
        <v>152</v>
      </c>
    </row>
    <row r="75" spans="2:20" ht="15.75">
      <c r="B75" s="12" t="s">
        <v>5</v>
      </c>
      <c r="C75" s="15">
        <f>C76+C77+C80</f>
        <v>16896000</v>
      </c>
      <c r="D75" s="15">
        <f>D76+D77+D80</f>
        <v>16567349</v>
      </c>
      <c r="E75" s="18">
        <f>D75/C75</f>
        <v>0.9805485913825758</v>
      </c>
      <c r="F75" s="15">
        <f>F76+F77</f>
        <v>0</v>
      </c>
      <c r="G75" s="18">
        <f>D75/C75</f>
        <v>0.9805485913825758</v>
      </c>
      <c r="H75" s="15">
        <f>H76+H77+H80</f>
        <v>0</v>
      </c>
      <c r="I75" s="15">
        <f>I76+I77+I80+I78</f>
        <v>19373000</v>
      </c>
      <c r="J75" s="15">
        <f>J76+J77+J80+J78</f>
        <v>15869073</v>
      </c>
      <c r="K75" s="18">
        <f>J75/I75</f>
        <v>0.8191334847468126</v>
      </c>
      <c r="L75" s="15">
        <f>L76+L77+L78+L80</f>
        <v>0</v>
      </c>
      <c r="M75" s="15">
        <f>M76+M77+M78+M79+M80</f>
        <v>20600000</v>
      </c>
      <c r="N75" s="15">
        <f>N76+N77+N78+N79+N80</f>
        <v>8408643</v>
      </c>
      <c r="O75" s="18">
        <f>N75/M75</f>
        <v>0.40818655339805826</v>
      </c>
      <c r="P75" s="15">
        <f>P76+P77+P78+P79+P80</f>
        <v>0</v>
      </c>
      <c r="Q75" s="15"/>
      <c r="R75" s="15">
        <f>M75+P75</f>
        <v>20600000</v>
      </c>
      <c r="S75" s="111">
        <f>R75/N75</f>
        <v>2.44986022120335</v>
      </c>
      <c r="T75" s="83">
        <f aca="true" t="shared" si="18" ref="T75:T131">R75-N75</f>
        <v>12191357</v>
      </c>
    </row>
    <row r="76" spans="2:20" ht="13.5" customHeight="1">
      <c r="B76" s="13" t="s">
        <v>2</v>
      </c>
      <c r="C76" s="6">
        <v>13996000</v>
      </c>
      <c r="D76" s="6">
        <v>13839174</v>
      </c>
      <c r="E76" s="16">
        <f>D76/C76</f>
        <v>0.988794941411832</v>
      </c>
      <c r="F76" s="7"/>
      <c r="G76" s="16">
        <f>D76/C76</f>
        <v>0.988794941411832</v>
      </c>
      <c r="H76" s="7"/>
      <c r="I76" s="6">
        <v>16000000</v>
      </c>
      <c r="J76" s="6">
        <v>13617666</v>
      </c>
      <c r="K76" s="16">
        <f>J76/I76</f>
        <v>0.851104125</v>
      </c>
      <c r="L76" s="6"/>
      <c r="M76" s="11">
        <f>18500000-156000</f>
        <v>18344000</v>
      </c>
      <c r="N76" s="40">
        <v>7456409</v>
      </c>
      <c r="O76" s="16">
        <f aca="true" t="shared" si="19" ref="O76:O138">N76/M76</f>
        <v>0.4064767226341038</v>
      </c>
      <c r="P76" s="40"/>
      <c r="Q76" s="40"/>
      <c r="R76" s="11">
        <f>M76+P76</f>
        <v>18344000</v>
      </c>
      <c r="S76" s="112">
        <f>R76/N76</f>
        <v>2.4601654764377865</v>
      </c>
      <c r="T76" s="85">
        <f>R76-N76</f>
        <v>10887591</v>
      </c>
    </row>
    <row r="77" spans="2:20" ht="15" customHeight="1">
      <c r="B77" s="13" t="s">
        <v>3</v>
      </c>
      <c r="C77" s="6">
        <v>2900000</v>
      </c>
      <c r="D77" s="6">
        <v>2728175</v>
      </c>
      <c r="E77" s="16">
        <f>D77/C77</f>
        <v>0.94075</v>
      </c>
      <c r="F77" s="7"/>
      <c r="G77" s="16">
        <f>D77/C77</f>
        <v>0.94075</v>
      </c>
      <c r="H77" s="7"/>
      <c r="I77" s="6">
        <v>3323000</v>
      </c>
      <c r="J77" s="6">
        <v>2210540</v>
      </c>
      <c r="K77" s="16">
        <f>J77/I77</f>
        <v>0.665224195004514</v>
      </c>
      <c r="L77" s="6"/>
      <c r="M77" s="7">
        <v>2100000</v>
      </c>
      <c r="N77" s="6">
        <v>892494</v>
      </c>
      <c r="O77" s="16">
        <f t="shared" si="19"/>
        <v>0.42499714285714285</v>
      </c>
      <c r="P77" s="6"/>
      <c r="Q77" s="6"/>
      <c r="R77" s="11">
        <f aca="true" t="shared" si="20" ref="R77:R140">M77+P77</f>
        <v>2100000</v>
      </c>
      <c r="S77" s="112">
        <f>R77/N77</f>
        <v>2.3529569946688715</v>
      </c>
      <c r="T77" s="85">
        <f>R77-N77</f>
        <v>1207506</v>
      </c>
    </row>
    <row r="78" spans="2:20" ht="15.75">
      <c r="B78" s="13" t="s">
        <v>149</v>
      </c>
      <c r="C78" s="6" t="e">
        <v>#REF!</v>
      </c>
      <c r="D78" s="6"/>
      <c r="E78" s="16" t="e">
        <f>D78/C78</f>
        <v>#REF!</v>
      </c>
      <c r="F78" s="7"/>
      <c r="G78" s="16" t="e">
        <f>D78/C78</f>
        <v>#REF!</v>
      </c>
      <c r="H78" s="7"/>
      <c r="I78" s="6">
        <v>50000</v>
      </c>
      <c r="J78" s="6">
        <v>50000</v>
      </c>
      <c r="K78" s="16">
        <f>J78/I78</f>
        <v>1</v>
      </c>
      <c r="L78" s="6"/>
      <c r="M78" s="7">
        <v>0</v>
      </c>
      <c r="N78" s="6">
        <v>0</v>
      </c>
      <c r="O78" s="16"/>
      <c r="P78" s="6"/>
      <c r="Q78" s="6"/>
      <c r="R78" s="11">
        <f t="shared" si="20"/>
        <v>0</v>
      </c>
      <c r="S78" s="112"/>
      <c r="T78" s="85">
        <f t="shared" si="18"/>
        <v>0</v>
      </c>
    </row>
    <row r="79" spans="2:20" ht="15.75">
      <c r="B79" s="114" t="s">
        <v>153</v>
      </c>
      <c r="C79" s="6"/>
      <c r="D79" s="6"/>
      <c r="E79" s="16"/>
      <c r="F79" s="7"/>
      <c r="G79" s="16"/>
      <c r="H79" s="7"/>
      <c r="I79" s="6"/>
      <c r="J79" s="6"/>
      <c r="K79" s="16"/>
      <c r="L79" s="6"/>
      <c r="M79" s="7">
        <v>156000</v>
      </c>
      <c r="N79" s="6">
        <v>59840</v>
      </c>
      <c r="O79" s="16">
        <f t="shared" si="19"/>
        <v>0.38358974358974357</v>
      </c>
      <c r="P79" s="6"/>
      <c r="Q79" s="6"/>
      <c r="R79" s="11">
        <f t="shared" si="20"/>
        <v>156000</v>
      </c>
      <c r="S79" s="112">
        <v>0</v>
      </c>
      <c r="T79" s="85">
        <f t="shared" si="18"/>
        <v>96160</v>
      </c>
    </row>
    <row r="80" spans="2:20" ht="15.75">
      <c r="B80" s="13" t="s">
        <v>34</v>
      </c>
      <c r="C80" s="6">
        <v>0</v>
      </c>
      <c r="D80" s="6"/>
      <c r="E80" s="16"/>
      <c r="F80" s="7"/>
      <c r="G80" s="16"/>
      <c r="H80" s="7"/>
      <c r="I80" s="6">
        <v>0</v>
      </c>
      <c r="J80" s="6">
        <v>-9133</v>
      </c>
      <c r="K80" s="16"/>
      <c r="L80" s="6"/>
      <c r="M80" s="7"/>
      <c r="N80" s="85">
        <v>-100</v>
      </c>
      <c r="O80" s="16"/>
      <c r="P80" s="6"/>
      <c r="Q80" s="6"/>
      <c r="R80" s="11">
        <f t="shared" si="20"/>
        <v>0</v>
      </c>
      <c r="S80" s="112">
        <f aca="true" t="shared" si="21" ref="S80:S86">R80/N80</f>
        <v>0</v>
      </c>
      <c r="T80" s="85">
        <f t="shared" si="18"/>
        <v>100</v>
      </c>
    </row>
    <row r="81" spans="2:20" ht="15.75">
      <c r="B81" s="14" t="s">
        <v>14</v>
      </c>
      <c r="C81" s="15">
        <f>C82+C83+C85+C88+C86</f>
        <v>4404000</v>
      </c>
      <c r="D81" s="15">
        <f>D82+D83+D88+D85</f>
        <v>1513220</v>
      </c>
      <c r="E81" s="18">
        <f>D81/C81</f>
        <v>0.3436012715712988</v>
      </c>
      <c r="F81" s="15">
        <f>F82+F83+F85</f>
        <v>0</v>
      </c>
      <c r="G81" s="18">
        <f>D81/C81</f>
        <v>0.3436012715712988</v>
      </c>
      <c r="H81" s="15">
        <f>H82+H83+H85+H88+H86</f>
        <v>0</v>
      </c>
      <c r="I81" s="15">
        <f>I82+I83+I85+I88+I86</f>
        <v>1650000</v>
      </c>
      <c r="J81" s="15">
        <f>J82+J83+J85+J88+J86</f>
        <v>1171997</v>
      </c>
      <c r="K81" s="18">
        <f>J81/I81</f>
        <v>0.7103012121212121</v>
      </c>
      <c r="L81" s="15">
        <f>L82+L83+L85+L86</f>
        <v>0</v>
      </c>
      <c r="M81" s="15">
        <f>M82+M83+M87+M88</f>
        <v>1541000</v>
      </c>
      <c r="N81" s="83">
        <f>N82+N83+N87+N88</f>
        <v>676968</v>
      </c>
      <c r="O81" s="18">
        <f t="shared" si="19"/>
        <v>0.43930434782608696</v>
      </c>
      <c r="P81" s="15">
        <f>P82+P83+P87+P88</f>
        <v>0</v>
      </c>
      <c r="Q81" s="15"/>
      <c r="R81" s="116">
        <f t="shared" si="20"/>
        <v>1541000</v>
      </c>
      <c r="S81" s="111">
        <f t="shared" si="21"/>
        <v>2.276326207442597</v>
      </c>
      <c r="T81" s="83">
        <f t="shared" si="18"/>
        <v>864032</v>
      </c>
    </row>
    <row r="82" spans="2:20" ht="15.75">
      <c r="B82" s="13" t="s">
        <v>2</v>
      </c>
      <c r="C82" s="6">
        <v>1172000</v>
      </c>
      <c r="D82" s="6">
        <v>1161235</v>
      </c>
      <c r="E82" s="16">
        <f>D82/C82</f>
        <v>0.9908148464163823</v>
      </c>
      <c r="F82" s="7"/>
      <c r="G82" s="16">
        <f>D82/C82</f>
        <v>0.9908148464163823</v>
      </c>
      <c r="H82" s="7"/>
      <c r="I82" s="6">
        <v>1450000</v>
      </c>
      <c r="J82" s="6">
        <v>1036139</v>
      </c>
      <c r="K82" s="16">
        <f>J82/I82</f>
        <v>0.7145786206896552</v>
      </c>
      <c r="L82" s="6"/>
      <c r="M82" s="6">
        <v>1397000</v>
      </c>
      <c r="N82" s="85">
        <v>608402</v>
      </c>
      <c r="O82" s="16">
        <f t="shared" si="19"/>
        <v>0.4355060844667144</v>
      </c>
      <c r="P82" s="6"/>
      <c r="Q82" s="6"/>
      <c r="R82" s="11">
        <f t="shared" si="20"/>
        <v>1397000</v>
      </c>
      <c r="S82" s="112">
        <f t="shared" si="21"/>
        <v>2.2961791710086423</v>
      </c>
      <c r="T82" s="85">
        <f t="shared" si="18"/>
        <v>788598</v>
      </c>
    </row>
    <row r="83" spans="2:20" ht="15" customHeight="1">
      <c r="B83" s="13" t="s">
        <v>3</v>
      </c>
      <c r="C83" s="6">
        <v>210000</v>
      </c>
      <c r="D83" s="6">
        <v>139848</v>
      </c>
      <c r="E83" s="16">
        <f>D83/C83</f>
        <v>0.6659428571428572</v>
      </c>
      <c r="F83" s="7"/>
      <c r="G83" s="16">
        <f>D83/C83</f>
        <v>0.6659428571428572</v>
      </c>
      <c r="H83" s="7"/>
      <c r="I83" s="6">
        <v>200000</v>
      </c>
      <c r="J83" s="6">
        <v>135858</v>
      </c>
      <c r="K83" s="16">
        <f>J83/I83</f>
        <v>0.67929</v>
      </c>
      <c r="L83" s="6"/>
      <c r="M83" s="6">
        <v>116000</v>
      </c>
      <c r="N83" s="85">
        <v>61876</v>
      </c>
      <c r="O83" s="16">
        <f t="shared" si="19"/>
        <v>0.5334137931034483</v>
      </c>
      <c r="P83" s="6"/>
      <c r="Q83" s="6"/>
      <c r="R83" s="11">
        <f t="shared" si="20"/>
        <v>116000</v>
      </c>
      <c r="S83" s="112">
        <f t="shared" si="21"/>
        <v>1.87471717628806</v>
      </c>
      <c r="T83" s="85">
        <f t="shared" si="18"/>
        <v>54124</v>
      </c>
    </row>
    <row r="84" spans="2:20" ht="1.5" customHeight="1" hidden="1">
      <c r="B84" s="13" t="s">
        <v>4</v>
      </c>
      <c r="C84" s="6">
        <v>0</v>
      </c>
      <c r="D84" s="6"/>
      <c r="E84" s="16"/>
      <c r="F84" s="7"/>
      <c r="G84" s="16"/>
      <c r="H84" s="7"/>
      <c r="I84" s="6"/>
      <c r="J84" s="6"/>
      <c r="K84" s="16" t="e">
        <f>J84/I84</f>
        <v>#DIV/0!</v>
      </c>
      <c r="L84" s="6"/>
      <c r="M84" s="6"/>
      <c r="N84" s="85"/>
      <c r="O84" s="16" t="e">
        <f t="shared" si="19"/>
        <v>#DIV/0!</v>
      </c>
      <c r="P84" s="6"/>
      <c r="Q84" s="6"/>
      <c r="R84" s="11">
        <f t="shared" si="20"/>
        <v>0</v>
      </c>
      <c r="S84" s="111" t="e">
        <f t="shared" si="21"/>
        <v>#DIV/0!</v>
      </c>
      <c r="T84" s="85">
        <f t="shared" si="18"/>
        <v>0</v>
      </c>
    </row>
    <row r="85" spans="2:20" ht="16.5" customHeight="1" hidden="1">
      <c r="B85" s="13" t="s">
        <v>131</v>
      </c>
      <c r="C85" s="6">
        <v>222000</v>
      </c>
      <c r="D85" s="6">
        <v>212137</v>
      </c>
      <c r="E85" s="16"/>
      <c r="F85" s="7"/>
      <c r="G85" s="16">
        <f>D85/C85</f>
        <v>0.9555720720720721</v>
      </c>
      <c r="H85" s="7"/>
      <c r="I85" s="6">
        <v>0</v>
      </c>
      <c r="J85" s="6"/>
      <c r="K85" s="16"/>
      <c r="L85" s="6"/>
      <c r="M85" s="6"/>
      <c r="N85" s="85"/>
      <c r="O85" s="16" t="e">
        <f t="shared" si="19"/>
        <v>#DIV/0!</v>
      </c>
      <c r="P85" s="6"/>
      <c r="Q85" s="6"/>
      <c r="R85" s="11">
        <f t="shared" si="20"/>
        <v>0</v>
      </c>
      <c r="S85" s="111" t="e">
        <f t="shared" si="21"/>
        <v>#DIV/0!</v>
      </c>
      <c r="T85" s="85">
        <f t="shared" si="18"/>
        <v>0</v>
      </c>
    </row>
    <row r="86" spans="2:20" ht="16.5" customHeight="1" hidden="1">
      <c r="B86" s="13" t="s">
        <v>133</v>
      </c>
      <c r="C86" s="6">
        <v>2800000</v>
      </c>
      <c r="D86" s="6"/>
      <c r="E86" s="16"/>
      <c r="F86" s="7"/>
      <c r="G86" s="16"/>
      <c r="H86" s="7"/>
      <c r="I86" s="6">
        <v>0</v>
      </c>
      <c r="J86" s="6"/>
      <c r="K86" s="16"/>
      <c r="L86" s="6"/>
      <c r="M86" s="6"/>
      <c r="N86" s="85"/>
      <c r="O86" s="16" t="e">
        <f t="shared" si="19"/>
        <v>#DIV/0!</v>
      </c>
      <c r="P86" s="6"/>
      <c r="Q86" s="6"/>
      <c r="R86" s="11">
        <f t="shared" si="20"/>
        <v>0</v>
      </c>
      <c r="S86" s="111" t="e">
        <f t="shared" si="21"/>
        <v>#DIV/0!</v>
      </c>
      <c r="T86" s="85">
        <f t="shared" si="18"/>
        <v>0</v>
      </c>
    </row>
    <row r="87" spans="2:20" ht="16.5" customHeight="1">
      <c r="B87" s="114" t="s">
        <v>153</v>
      </c>
      <c r="C87" s="6"/>
      <c r="D87" s="6"/>
      <c r="E87" s="16"/>
      <c r="F87" s="7"/>
      <c r="G87" s="16"/>
      <c r="H87" s="7"/>
      <c r="I87" s="6"/>
      <c r="J87" s="6"/>
      <c r="K87" s="16"/>
      <c r="L87" s="6"/>
      <c r="M87" s="6">
        <v>18000</v>
      </c>
      <c r="N87" s="85">
        <v>6690</v>
      </c>
      <c r="O87" s="16">
        <f t="shared" si="19"/>
        <v>0.37166666666666665</v>
      </c>
      <c r="P87" s="6"/>
      <c r="Q87" s="6"/>
      <c r="R87" s="11">
        <f t="shared" si="20"/>
        <v>18000</v>
      </c>
      <c r="S87" s="112"/>
      <c r="T87" s="85">
        <f t="shared" si="18"/>
        <v>11310</v>
      </c>
    </row>
    <row r="88" spans="2:20" ht="15.75">
      <c r="B88" s="13" t="s">
        <v>157</v>
      </c>
      <c r="C88" s="6">
        <v>0</v>
      </c>
      <c r="D88" s="6"/>
      <c r="E88" s="16"/>
      <c r="F88" s="7"/>
      <c r="G88" s="16" t="e">
        <f aca="true" t="shared" si="22" ref="G88:G104">D88/C88</f>
        <v>#DIV/0!</v>
      </c>
      <c r="H88" s="7"/>
      <c r="I88" s="6">
        <f>C88+H88</f>
        <v>0</v>
      </c>
      <c r="J88" s="6"/>
      <c r="K88" s="18" t="e">
        <f aca="true" t="shared" si="23" ref="K88:K101">J88/I88</f>
        <v>#DIV/0!</v>
      </c>
      <c r="L88" s="6"/>
      <c r="M88" s="6">
        <v>10000</v>
      </c>
      <c r="N88" s="85"/>
      <c r="O88" s="16">
        <f t="shared" si="19"/>
        <v>0</v>
      </c>
      <c r="P88" s="6"/>
      <c r="Q88" s="6"/>
      <c r="R88" s="11">
        <f t="shared" si="20"/>
        <v>10000</v>
      </c>
      <c r="S88" s="112"/>
      <c r="T88" s="85">
        <f t="shared" si="18"/>
        <v>10000</v>
      </c>
    </row>
    <row r="89" spans="2:20" ht="46.5" customHeight="1">
      <c r="B89" s="17" t="s">
        <v>28</v>
      </c>
      <c r="C89" s="15">
        <f>C90+C91+C92</f>
        <v>5010000</v>
      </c>
      <c r="D89" s="15">
        <f>D90+D91+D92</f>
        <v>4813241</v>
      </c>
      <c r="E89" s="18">
        <f>D89/C89</f>
        <v>0.960726746506986</v>
      </c>
      <c r="F89" s="15">
        <f>F90+F91</f>
        <v>0</v>
      </c>
      <c r="G89" s="18">
        <f t="shared" si="22"/>
        <v>0.960726746506986</v>
      </c>
      <c r="H89" s="15">
        <f>H90+H91+H92</f>
        <v>0</v>
      </c>
      <c r="I89" s="15">
        <f>I90+I91+I92</f>
        <v>4123000</v>
      </c>
      <c r="J89" s="15">
        <f>J90+J91+J92</f>
        <v>3792940</v>
      </c>
      <c r="K89" s="18">
        <f t="shared" si="23"/>
        <v>0.9199466407955372</v>
      </c>
      <c r="L89" s="15">
        <f>L90+L91</f>
        <v>0</v>
      </c>
      <c r="M89" s="15">
        <f>M90+M91</f>
        <v>3798000</v>
      </c>
      <c r="N89" s="83">
        <f>N90+N91</f>
        <v>1200000</v>
      </c>
      <c r="O89" s="18">
        <f t="shared" si="19"/>
        <v>0.315955766192733</v>
      </c>
      <c r="P89" s="15">
        <f>P90+P91</f>
        <v>0</v>
      </c>
      <c r="Q89" s="15"/>
      <c r="R89" s="116">
        <f t="shared" si="20"/>
        <v>3798000</v>
      </c>
      <c r="S89" s="111">
        <f aca="true" t="shared" si="24" ref="S89:S104">R89/N89</f>
        <v>3.165</v>
      </c>
      <c r="T89" s="83">
        <f t="shared" si="18"/>
        <v>2598000</v>
      </c>
    </row>
    <row r="90" spans="2:20" ht="15.75">
      <c r="B90" s="19" t="s">
        <v>10</v>
      </c>
      <c r="C90" s="6">
        <v>180000</v>
      </c>
      <c r="D90" s="6">
        <v>127825</v>
      </c>
      <c r="E90" s="16">
        <f>D90/C90</f>
        <v>0.7101388888888889</v>
      </c>
      <c r="F90" s="7"/>
      <c r="G90" s="16">
        <f t="shared" si="22"/>
        <v>0.7101388888888889</v>
      </c>
      <c r="H90" s="7"/>
      <c r="I90" s="6">
        <v>113000</v>
      </c>
      <c r="J90" s="6">
        <v>113000</v>
      </c>
      <c r="K90" s="16">
        <f t="shared" si="23"/>
        <v>1</v>
      </c>
      <c r="L90" s="6"/>
      <c r="M90" s="6">
        <v>98000</v>
      </c>
      <c r="N90" s="85"/>
      <c r="O90" s="16">
        <f t="shared" si="19"/>
        <v>0</v>
      </c>
      <c r="P90" s="6"/>
      <c r="Q90" s="6"/>
      <c r="R90" s="11">
        <f t="shared" si="20"/>
        <v>98000</v>
      </c>
      <c r="S90" s="112" t="e">
        <f t="shared" si="24"/>
        <v>#DIV/0!</v>
      </c>
      <c r="T90" s="85">
        <f t="shared" si="18"/>
        <v>98000</v>
      </c>
    </row>
    <row r="91" spans="2:20" ht="15.75">
      <c r="B91" s="19" t="s">
        <v>51</v>
      </c>
      <c r="C91" s="6">
        <v>4830000</v>
      </c>
      <c r="D91" s="6">
        <v>4685416</v>
      </c>
      <c r="E91" s="16">
        <f>D91/C91</f>
        <v>0.9700654244306418</v>
      </c>
      <c r="F91" s="6"/>
      <c r="G91" s="16">
        <f t="shared" si="22"/>
        <v>0.9700654244306418</v>
      </c>
      <c r="H91" s="6"/>
      <c r="I91" s="6">
        <v>4010000</v>
      </c>
      <c r="J91" s="6">
        <v>3679940</v>
      </c>
      <c r="K91" s="16">
        <f t="shared" si="23"/>
        <v>0.9176907730673317</v>
      </c>
      <c r="L91" s="6"/>
      <c r="M91" s="6">
        <v>3700000</v>
      </c>
      <c r="N91" s="85">
        <v>1200000</v>
      </c>
      <c r="O91" s="16">
        <f t="shared" si="19"/>
        <v>0.32432432432432434</v>
      </c>
      <c r="P91" s="6"/>
      <c r="Q91" s="6"/>
      <c r="R91" s="11">
        <f t="shared" si="20"/>
        <v>3700000</v>
      </c>
      <c r="S91" s="112">
        <f t="shared" si="24"/>
        <v>3.0833333333333335</v>
      </c>
      <c r="T91" s="85">
        <f t="shared" si="18"/>
        <v>2500000</v>
      </c>
    </row>
    <row r="92" spans="2:20" ht="0.75" customHeight="1">
      <c r="B92" s="13" t="s">
        <v>34</v>
      </c>
      <c r="C92" s="6">
        <v>0</v>
      </c>
      <c r="D92" s="6"/>
      <c r="E92" s="16"/>
      <c r="F92" s="7"/>
      <c r="G92" s="16" t="e">
        <f t="shared" si="22"/>
        <v>#DIV/0!</v>
      </c>
      <c r="H92" s="7"/>
      <c r="I92" s="6">
        <f>C92+H92</f>
        <v>0</v>
      </c>
      <c r="J92" s="6"/>
      <c r="K92" s="18" t="e">
        <f t="shared" si="23"/>
        <v>#DIV/0!</v>
      </c>
      <c r="L92" s="6"/>
      <c r="M92" s="15">
        <f>I92+L92</f>
        <v>0</v>
      </c>
      <c r="N92" s="83"/>
      <c r="O92" s="18" t="e">
        <f t="shared" si="19"/>
        <v>#DIV/0!</v>
      </c>
      <c r="P92" s="15"/>
      <c r="Q92" s="15"/>
      <c r="R92" s="11">
        <f t="shared" si="20"/>
        <v>0</v>
      </c>
      <c r="S92" s="111" t="e">
        <f t="shared" si="24"/>
        <v>#DIV/0!</v>
      </c>
      <c r="T92" s="83">
        <f t="shared" si="18"/>
        <v>0</v>
      </c>
    </row>
    <row r="93" spans="2:20" ht="15.75" hidden="1">
      <c r="B93" s="14" t="s">
        <v>29</v>
      </c>
      <c r="C93" s="15" t="e">
        <f>#REF!+B93</f>
        <v>#REF!</v>
      </c>
      <c r="D93" s="15"/>
      <c r="E93" s="18" t="e">
        <f aca="true" t="shared" si="25" ref="E93:E101">D93/C93</f>
        <v>#REF!</v>
      </c>
      <c r="F93" s="7"/>
      <c r="G93" s="18" t="e">
        <f t="shared" si="22"/>
        <v>#REF!</v>
      </c>
      <c r="H93" s="7"/>
      <c r="I93" s="6" t="e">
        <f>C93+F93</f>
        <v>#REF!</v>
      </c>
      <c r="J93" s="6"/>
      <c r="K93" s="18" t="e">
        <f t="shared" si="23"/>
        <v>#REF!</v>
      </c>
      <c r="L93" s="6"/>
      <c r="M93" s="15" t="e">
        <f>I93+L93</f>
        <v>#REF!</v>
      </c>
      <c r="N93" s="83"/>
      <c r="O93" s="18" t="e">
        <f t="shared" si="19"/>
        <v>#REF!</v>
      </c>
      <c r="P93" s="15"/>
      <c r="Q93" s="15"/>
      <c r="R93" s="11" t="e">
        <f t="shared" si="20"/>
        <v>#REF!</v>
      </c>
      <c r="S93" s="111" t="e">
        <f t="shared" si="24"/>
        <v>#REF!</v>
      </c>
      <c r="T93" s="83" t="e">
        <f t="shared" si="18"/>
        <v>#REF!</v>
      </c>
    </row>
    <row r="94" spans="2:20" ht="15.75" hidden="1">
      <c r="B94" s="13" t="s">
        <v>30</v>
      </c>
      <c r="C94" s="6" t="e">
        <f>#REF!+B94</f>
        <v>#REF!</v>
      </c>
      <c r="D94" s="6"/>
      <c r="E94" s="18" t="e">
        <f t="shared" si="25"/>
        <v>#REF!</v>
      </c>
      <c r="F94" s="7"/>
      <c r="G94" s="18" t="e">
        <f t="shared" si="22"/>
        <v>#REF!</v>
      </c>
      <c r="H94" s="7"/>
      <c r="I94" s="6" t="e">
        <f>C94+F94</f>
        <v>#REF!</v>
      </c>
      <c r="J94" s="6"/>
      <c r="K94" s="18" t="e">
        <f t="shared" si="23"/>
        <v>#REF!</v>
      </c>
      <c r="L94" s="6"/>
      <c r="M94" s="15" t="e">
        <f>I94+L94</f>
        <v>#REF!</v>
      </c>
      <c r="N94" s="83"/>
      <c r="O94" s="18" t="e">
        <f t="shared" si="19"/>
        <v>#REF!</v>
      </c>
      <c r="P94" s="15"/>
      <c r="Q94" s="15"/>
      <c r="R94" s="11" t="e">
        <f t="shared" si="20"/>
        <v>#REF!</v>
      </c>
      <c r="S94" s="111" t="e">
        <f t="shared" si="24"/>
        <v>#REF!</v>
      </c>
      <c r="T94" s="83" t="e">
        <f t="shared" si="18"/>
        <v>#REF!</v>
      </c>
    </row>
    <row r="95" spans="2:20" ht="15.75" hidden="1">
      <c r="B95" s="13" t="s">
        <v>34</v>
      </c>
      <c r="C95" s="6" t="e">
        <f>#REF!+B95</f>
        <v>#REF!</v>
      </c>
      <c r="D95" s="6"/>
      <c r="E95" s="18" t="e">
        <f t="shared" si="25"/>
        <v>#REF!</v>
      </c>
      <c r="F95" s="7"/>
      <c r="G95" s="18" t="e">
        <f t="shared" si="22"/>
        <v>#REF!</v>
      </c>
      <c r="H95" s="7"/>
      <c r="I95" s="6" t="e">
        <f>C95+F95</f>
        <v>#REF!</v>
      </c>
      <c r="J95" s="6"/>
      <c r="K95" s="18" t="e">
        <f t="shared" si="23"/>
        <v>#REF!</v>
      </c>
      <c r="L95" s="6"/>
      <c r="M95" s="15" t="e">
        <f>I95+L95</f>
        <v>#REF!</v>
      </c>
      <c r="N95" s="83"/>
      <c r="O95" s="18" t="e">
        <f t="shared" si="19"/>
        <v>#REF!</v>
      </c>
      <c r="P95" s="15"/>
      <c r="Q95" s="15"/>
      <c r="R95" s="11" t="e">
        <f t="shared" si="20"/>
        <v>#REF!</v>
      </c>
      <c r="S95" s="111" t="e">
        <f t="shared" si="24"/>
        <v>#REF!</v>
      </c>
      <c r="T95" s="83" t="e">
        <f t="shared" si="18"/>
        <v>#REF!</v>
      </c>
    </row>
    <row r="96" spans="2:20" ht="31.5">
      <c r="B96" s="17" t="s">
        <v>47</v>
      </c>
      <c r="C96" s="15">
        <f>C97+C98+C102</f>
        <v>5930000</v>
      </c>
      <c r="D96" s="15">
        <f>D97+D98+D102</f>
        <v>5894380</v>
      </c>
      <c r="E96" s="18">
        <f t="shared" si="25"/>
        <v>0.9939932546374367</v>
      </c>
      <c r="F96" s="15">
        <f>F97+F98</f>
        <v>0</v>
      </c>
      <c r="G96" s="18">
        <f t="shared" si="22"/>
        <v>0.9939932546374367</v>
      </c>
      <c r="H96" s="15">
        <f>H97+H98+H102</f>
        <v>0</v>
      </c>
      <c r="I96" s="15">
        <f>I97+I98+I102</f>
        <v>6590000</v>
      </c>
      <c r="J96" s="15">
        <f>J97+J98+J102</f>
        <v>5740960</v>
      </c>
      <c r="K96" s="18">
        <f t="shared" si="23"/>
        <v>0.8711623672230653</v>
      </c>
      <c r="L96" s="15">
        <f>L97+L98+L102</f>
        <v>0</v>
      </c>
      <c r="M96" s="15">
        <f>M97+M98+M102</f>
        <v>6386000</v>
      </c>
      <c r="N96" s="83">
        <f>N97+N98+N102</f>
        <v>2934229</v>
      </c>
      <c r="O96" s="18">
        <f t="shared" si="19"/>
        <v>0.45947839022862513</v>
      </c>
      <c r="P96" s="15">
        <f>P97+P98+P102</f>
        <v>15000</v>
      </c>
      <c r="Q96" s="15"/>
      <c r="R96" s="116">
        <f t="shared" si="20"/>
        <v>6401000</v>
      </c>
      <c r="S96" s="111">
        <f t="shared" si="24"/>
        <v>2.1814929918557824</v>
      </c>
      <c r="T96" s="83">
        <f t="shared" si="18"/>
        <v>3466771</v>
      </c>
    </row>
    <row r="97" spans="2:20" ht="15.75">
      <c r="B97" s="13" t="s">
        <v>91</v>
      </c>
      <c r="C97" s="6">
        <v>4490000</v>
      </c>
      <c r="D97" s="6">
        <v>4477152</v>
      </c>
      <c r="E97" s="16">
        <f t="shared" si="25"/>
        <v>0.9971385300668152</v>
      </c>
      <c r="F97" s="6"/>
      <c r="G97" s="16">
        <f t="shared" si="22"/>
        <v>0.9971385300668152</v>
      </c>
      <c r="H97" s="7"/>
      <c r="I97" s="6">
        <v>5920000</v>
      </c>
      <c r="J97" s="6">
        <v>5218115</v>
      </c>
      <c r="K97" s="16">
        <f t="shared" si="23"/>
        <v>0.8814383445945946</v>
      </c>
      <c r="L97" s="6"/>
      <c r="M97" s="6">
        <v>5900000</v>
      </c>
      <c r="N97" s="85">
        <v>2769056</v>
      </c>
      <c r="O97" s="16">
        <f t="shared" si="19"/>
        <v>0.4693315254237288</v>
      </c>
      <c r="P97" s="6"/>
      <c r="Q97" s="6"/>
      <c r="R97" s="11">
        <f t="shared" si="20"/>
        <v>5900000</v>
      </c>
      <c r="S97" s="112">
        <f t="shared" si="24"/>
        <v>2.1306900257705155</v>
      </c>
      <c r="T97" s="85">
        <f t="shared" si="18"/>
        <v>3130944</v>
      </c>
    </row>
    <row r="98" spans="2:20" ht="15.75">
      <c r="B98" s="20" t="s">
        <v>45</v>
      </c>
      <c r="C98" s="21">
        <f>C99+C100</f>
        <v>1440000</v>
      </c>
      <c r="D98" s="21">
        <f>D99+D100</f>
        <v>1417228</v>
      </c>
      <c r="E98" s="26">
        <f t="shared" si="25"/>
        <v>0.9841861111111111</v>
      </c>
      <c r="F98" s="21">
        <f>F99+F100</f>
        <v>0</v>
      </c>
      <c r="G98" s="26">
        <f t="shared" si="22"/>
        <v>0.9841861111111111</v>
      </c>
      <c r="H98" s="21">
        <f>H99+H100</f>
        <v>0</v>
      </c>
      <c r="I98" s="21">
        <f>I99+I100</f>
        <v>670000</v>
      </c>
      <c r="J98" s="21">
        <v>527649</v>
      </c>
      <c r="K98" s="26">
        <f t="shared" si="23"/>
        <v>0.7875358208955224</v>
      </c>
      <c r="L98" s="21">
        <f>L99+L100</f>
        <v>0</v>
      </c>
      <c r="M98" s="21">
        <f>M99+M100</f>
        <v>486000</v>
      </c>
      <c r="N98" s="84">
        <v>165173</v>
      </c>
      <c r="O98" s="26">
        <f t="shared" si="19"/>
        <v>0.3398621399176955</v>
      </c>
      <c r="P98" s="21">
        <f>P99+P100</f>
        <v>15000</v>
      </c>
      <c r="Q98" s="21"/>
      <c r="R98" s="117">
        <f t="shared" si="20"/>
        <v>501000</v>
      </c>
      <c r="S98" s="113">
        <f t="shared" si="24"/>
        <v>3.033183389537031</v>
      </c>
      <c r="T98" s="84">
        <f t="shared" si="18"/>
        <v>335827</v>
      </c>
    </row>
    <row r="99" spans="2:20" ht="19.5" customHeight="1">
      <c r="B99" s="13" t="s">
        <v>92</v>
      </c>
      <c r="C99" s="6">
        <v>1370000</v>
      </c>
      <c r="D99" s="6">
        <v>1359614</v>
      </c>
      <c r="E99" s="16">
        <f t="shared" si="25"/>
        <v>0.9924189781021898</v>
      </c>
      <c r="F99" s="7"/>
      <c r="G99" s="16">
        <f t="shared" si="22"/>
        <v>0.9924189781021898</v>
      </c>
      <c r="H99" s="7"/>
      <c r="I99" s="6">
        <v>600000</v>
      </c>
      <c r="J99" s="6"/>
      <c r="K99" s="16">
        <f t="shared" si="23"/>
        <v>0</v>
      </c>
      <c r="L99" s="6"/>
      <c r="M99" s="6">
        <v>440000</v>
      </c>
      <c r="N99" s="85"/>
      <c r="O99" s="16">
        <f t="shared" si="19"/>
        <v>0</v>
      </c>
      <c r="P99" s="6"/>
      <c r="Q99" s="6"/>
      <c r="R99" s="11">
        <f t="shared" si="20"/>
        <v>440000</v>
      </c>
      <c r="S99" s="112" t="e">
        <f t="shared" si="24"/>
        <v>#DIV/0!</v>
      </c>
      <c r="T99" s="85">
        <f t="shared" si="18"/>
        <v>440000</v>
      </c>
    </row>
    <row r="100" spans="2:20" ht="19.5" customHeight="1">
      <c r="B100" s="13" t="s">
        <v>46</v>
      </c>
      <c r="C100" s="6">
        <v>70000</v>
      </c>
      <c r="D100" s="6">
        <v>57614</v>
      </c>
      <c r="E100" s="16">
        <f t="shared" si="25"/>
        <v>0.8230571428571428</v>
      </c>
      <c r="F100" s="7"/>
      <c r="G100" s="16">
        <f t="shared" si="22"/>
        <v>0.8230571428571428</v>
      </c>
      <c r="H100" s="7"/>
      <c r="I100" s="6">
        <v>70000</v>
      </c>
      <c r="J100" s="6"/>
      <c r="K100" s="16">
        <f t="shared" si="23"/>
        <v>0</v>
      </c>
      <c r="L100" s="6"/>
      <c r="M100" s="6">
        <v>46000</v>
      </c>
      <c r="N100" s="85"/>
      <c r="O100" s="16">
        <f t="shared" si="19"/>
        <v>0</v>
      </c>
      <c r="P100" s="6">
        <v>15000</v>
      </c>
      <c r="Q100" s="6"/>
      <c r="R100" s="11">
        <f t="shared" si="20"/>
        <v>61000</v>
      </c>
      <c r="S100" s="112" t="e">
        <f t="shared" si="24"/>
        <v>#DIV/0!</v>
      </c>
      <c r="T100" s="85">
        <f t="shared" si="18"/>
        <v>61000</v>
      </c>
    </row>
    <row r="101" spans="2:20" ht="15.75" hidden="1">
      <c r="B101" s="22" t="s">
        <v>4</v>
      </c>
      <c r="C101" s="21" t="e">
        <f>#REF!+B101</f>
        <v>#REF!</v>
      </c>
      <c r="D101" s="21"/>
      <c r="E101" s="16" t="e">
        <f t="shared" si="25"/>
        <v>#REF!</v>
      </c>
      <c r="F101" s="7"/>
      <c r="G101" s="16" t="e">
        <f t="shared" si="22"/>
        <v>#REF!</v>
      </c>
      <c r="H101" s="7"/>
      <c r="I101" s="6" t="e">
        <f>C101+H101</f>
        <v>#REF!</v>
      </c>
      <c r="J101" s="6"/>
      <c r="K101" s="16" t="e">
        <f t="shared" si="23"/>
        <v>#REF!</v>
      </c>
      <c r="L101" s="6"/>
      <c r="M101" s="6" t="e">
        <f>I101+L101</f>
        <v>#REF!</v>
      </c>
      <c r="N101" s="85"/>
      <c r="O101" s="16" t="e">
        <f t="shared" si="19"/>
        <v>#REF!</v>
      </c>
      <c r="P101" s="6"/>
      <c r="Q101" s="6"/>
      <c r="R101" s="11" t="e">
        <f t="shared" si="20"/>
        <v>#REF!</v>
      </c>
      <c r="S101" s="112" t="e">
        <f t="shared" si="24"/>
        <v>#REF!</v>
      </c>
      <c r="T101" s="85" t="e">
        <f t="shared" si="18"/>
        <v>#REF!</v>
      </c>
    </row>
    <row r="102" spans="2:20" ht="15.75">
      <c r="B102" s="13" t="s">
        <v>34</v>
      </c>
      <c r="C102" s="6"/>
      <c r="D102" s="6"/>
      <c r="E102" s="16"/>
      <c r="F102" s="7"/>
      <c r="G102" s="16" t="e">
        <f t="shared" si="22"/>
        <v>#DIV/0!</v>
      </c>
      <c r="H102" s="7"/>
      <c r="I102" s="6">
        <f>C102+H102</f>
        <v>0</v>
      </c>
      <c r="J102" s="6">
        <v>-4804</v>
      </c>
      <c r="K102" s="16"/>
      <c r="L102" s="6"/>
      <c r="M102" s="6">
        <f>I102+L102</f>
        <v>0</v>
      </c>
      <c r="N102" s="85"/>
      <c r="O102" s="16"/>
      <c r="P102" s="6"/>
      <c r="Q102" s="6"/>
      <c r="R102" s="11">
        <f t="shared" si="20"/>
        <v>0</v>
      </c>
      <c r="S102" s="112" t="e">
        <f t="shared" si="24"/>
        <v>#DIV/0!</v>
      </c>
      <c r="T102" s="85">
        <f t="shared" si="18"/>
        <v>0</v>
      </c>
    </row>
    <row r="103" spans="2:20" ht="15.75">
      <c r="B103" s="14" t="s">
        <v>7</v>
      </c>
      <c r="C103" s="15">
        <f>C104+C106+C105+C107+C111+C117+C110</f>
        <v>96925014</v>
      </c>
      <c r="D103" s="15">
        <f>D104+D106+D105+D107+D111+D117+D110</f>
        <v>96092373</v>
      </c>
      <c r="E103" s="18">
        <f>D103/C103</f>
        <v>0.9914094312124628</v>
      </c>
      <c r="F103" s="15">
        <f>F104+F105+F106+F107+F111</f>
        <v>0</v>
      </c>
      <c r="G103" s="18">
        <f t="shared" si="22"/>
        <v>0.9914094312124628</v>
      </c>
      <c r="H103" s="15">
        <f>H104+H106+H111+H117+H110</f>
        <v>0</v>
      </c>
      <c r="I103" s="15">
        <f>I104+I106+I111+I117+I110</f>
        <v>114884576</v>
      </c>
      <c r="J103" s="15">
        <f>J104+J106+J111+J117+J110+J116</f>
        <v>98387576</v>
      </c>
      <c r="K103" s="18">
        <f aca="true" t="shared" si="26" ref="K103:K109">J103/I103</f>
        <v>0.856403700353997</v>
      </c>
      <c r="L103" s="15">
        <f>L104+L106+L110+L111+L116+L117</f>
        <v>150000</v>
      </c>
      <c r="M103" s="15">
        <f>M104+M106+M111+M116+M117+M115</f>
        <v>14632700</v>
      </c>
      <c r="N103" s="83">
        <f>N104+N106+N111+N116+N117+N115</f>
        <v>4687101</v>
      </c>
      <c r="O103" s="18">
        <f t="shared" si="19"/>
        <v>0.3203168929862568</v>
      </c>
      <c r="P103" s="15">
        <f>P104+P106+P111+P116+P117+P115</f>
        <v>-41844</v>
      </c>
      <c r="Q103" s="15"/>
      <c r="R103" s="116">
        <f t="shared" si="20"/>
        <v>14590856</v>
      </c>
      <c r="S103" s="111">
        <f t="shared" si="24"/>
        <v>3.112980923602884</v>
      </c>
      <c r="T103" s="83">
        <f t="shared" si="18"/>
        <v>9903755</v>
      </c>
    </row>
    <row r="104" spans="2:20" ht="13.5" customHeight="1">
      <c r="B104" s="13" t="s">
        <v>2</v>
      </c>
      <c r="C104" s="6">
        <v>80655930</v>
      </c>
      <c r="D104" s="6">
        <v>80283802</v>
      </c>
      <c r="E104" s="16">
        <f>D104/C104</f>
        <v>0.9953862288860844</v>
      </c>
      <c r="F104" s="6"/>
      <c r="G104" s="16">
        <f t="shared" si="22"/>
        <v>0.9953862288860844</v>
      </c>
      <c r="H104" s="7"/>
      <c r="I104" s="6">
        <v>97830200</v>
      </c>
      <c r="J104" s="6">
        <v>85988560</v>
      </c>
      <c r="K104" s="16">
        <f t="shared" si="26"/>
        <v>0.8789572136211518</v>
      </c>
      <c r="L104" s="6"/>
      <c r="M104" s="7">
        <v>400000</v>
      </c>
      <c r="N104" s="85">
        <v>228831</v>
      </c>
      <c r="O104" s="16">
        <f t="shared" si="19"/>
        <v>0.5720775</v>
      </c>
      <c r="P104" s="6"/>
      <c r="Q104" s="6"/>
      <c r="R104" s="11">
        <f t="shared" si="20"/>
        <v>400000</v>
      </c>
      <c r="S104" s="112">
        <f t="shared" si="24"/>
        <v>1.7480149105671872</v>
      </c>
      <c r="T104" s="85">
        <f t="shared" si="18"/>
        <v>171169</v>
      </c>
    </row>
    <row r="105" spans="2:20" ht="15.75" hidden="1">
      <c r="B105" s="13" t="s">
        <v>160</v>
      </c>
      <c r="C105" s="23">
        <v>0</v>
      </c>
      <c r="D105" s="6"/>
      <c r="E105" s="16"/>
      <c r="F105" s="7"/>
      <c r="G105" s="16"/>
      <c r="H105" s="7"/>
      <c r="I105" s="6"/>
      <c r="J105" s="6"/>
      <c r="K105" s="16" t="e">
        <f t="shared" si="26"/>
        <v>#DIV/0!</v>
      </c>
      <c r="L105" s="6"/>
      <c r="M105" s="7"/>
      <c r="N105" s="85"/>
      <c r="O105" s="16" t="e">
        <f t="shared" si="19"/>
        <v>#DIV/0!</v>
      </c>
      <c r="P105" s="6"/>
      <c r="Q105" s="6"/>
      <c r="R105" s="11">
        <f t="shared" si="20"/>
        <v>0</v>
      </c>
      <c r="S105" s="112"/>
      <c r="T105" s="85">
        <f t="shared" si="18"/>
        <v>0</v>
      </c>
    </row>
    <row r="106" spans="2:20" ht="15.75">
      <c r="B106" s="13" t="s">
        <v>3</v>
      </c>
      <c r="C106" s="23">
        <v>15448084</v>
      </c>
      <c r="D106" s="6">
        <v>15106515</v>
      </c>
      <c r="E106" s="16">
        <f>D106/C106</f>
        <v>0.9778892320885878</v>
      </c>
      <c r="F106" s="6"/>
      <c r="G106" s="16">
        <f>D106/C106</f>
        <v>0.9778892320885878</v>
      </c>
      <c r="H106" s="7"/>
      <c r="I106" s="6">
        <v>15585076</v>
      </c>
      <c r="J106" s="6">
        <v>11749312</v>
      </c>
      <c r="K106" s="16">
        <f t="shared" si="26"/>
        <v>0.7538822396502911</v>
      </c>
      <c r="L106" s="6">
        <v>150000</v>
      </c>
      <c r="M106" s="7">
        <v>12870700</v>
      </c>
      <c r="N106" s="85">
        <v>4191750</v>
      </c>
      <c r="O106" s="16">
        <f t="shared" si="19"/>
        <v>0.32568158686007753</v>
      </c>
      <c r="P106" s="6">
        <f>14878-56722</f>
        <v>-41844</v>
      </c>
      <c r="Q106" s="6"/>
      <c r="R106" s="11">
        <f t="shared" si="20"/>
        <v>12828856</v>
      </c>
      <c r="S106" s="112">
        <f>R106/N106</f>
        <v>3.060501222639709</v>
      </c>
      <c r="T106" s="85">
        <f t="shared" si="18"/>
        <v>8637106</v>
      </c>
    </row>
    <row r="107" spans="2:20" ht="15.75" hidden="1">
      <c r="B107" s="13" t="s">
        <v>58</v>
      </c>
      <c r="C107" s="6">
        <v>0</v>
      </c>
      <c r="D107" s="6"/>
      <c r="E107" s="16"/>
      <c r="F107" s="7"/>
      <c r="G107" s="16" t="e">
        <f>D107/C107</f>
        <v>#DIV/0!</v>
      </c>
      <c r="H107" s="7"/>
      <c r="I107" s="6"/>
      <c r="J107" s="6"/>
      <c r="K107" s="16" t="e">
        <f t="shared" si="26"/>
        <v>#DIV/0!</v>
      </c>
      <c r="L107" s="6"/>
      <c r="M107" s="7"/>
      <c r="N107" s="85"/>
      <c r="O107" s="16" t="e">
        <f t="shared" si="19"/>
        <v>#DIV/0!</v>
      </c>
      <c r="P107" s="6"/>
      <c r="Q107" s="6"/>
      <c r="R107" s="11">
        <f t="shared" si="20"/>
        <v>0</v>
      </c>
      <c r="S107" s="112" t="e">
        <f>R107/N107</f>
        <v>#DIV/0!</v>
      </c>
      <c r="T107" s="85">
        <f t="shared" si="18"/>
        <v>0</v>
      </c>
    </row>
    <row r="108" spans="2:20" ht="0.75" customHeight="1" hidden="1">
      <c r="B108" s="13"/>
      <c r="C108" s="6" t="e">
        <v>#REF!</v>
      </c>
      <c r="D108" s="6"/>
      <c r="E108" s="16" t="e">
        <f>D108/C108</f>
        <v>#REF!</v>
      </c>
      <c r="F108" s="7"/>
      <c r="G108" s="16" t="e">
        <f>D108/C108</f>
        <v>#REF!</v>
      </c>
      <c r="H108" s="7"/>
      <c r="I108" s="6"/>
      <c r="J108" s="6"/>
      <c r="K108" s="16" t="e">
        <f t="shared" si="26"/>
        <v>#DIV/0!</v>
      </c>
      <c r="L108" s="6"/>
      <c r="M108" s="7"/>
      <c r="N108" s="85"/>
      <c r="O108" s="16" t="e">
        <f t="shared" si="19"/>
        <v>#DIV/0!</v>
      </c>
      <c r="P108" s="6"/>
      <c r="Q108" s="6"/>
      <c r="R108" s="11">
        <f t="shared" si="20"/>
        <v>0</v>
      </c>
      <c r="S108" s="112" t="e">
        <f>R108/N108</f>
        <v>#DIV/0!</v>
      </c>
      <c r="T108" s="85">
        <f t="shared" si="18"/>
        <v>0</v>
      </c>
    </row>
    <row r="109" spans="2:20" ht="15.75" hidden="1">
      <c r="B109" s="13"/>
      <c r="C109" s="6" t="e">
        <v>#REF!</v>
      </c>
      <c r="D109" s="6"/>
      <c r="E109" s="16" t="e">
        <f>D109/C109</f>
        <v>#REF!</v>
      </c>
      <c r="F109" s="7"/>
      <c r="G109" s="16" t="e">
        <f>D109/C109</f>
        <v>#REF!</v>
      </c>
      <c r="H109" s="7"/>
      <c r="I109" s="6"/>
      <c r="J109" s="6"/>
      <c r="K109" s="16" t="e">
        <f t="shared" si="26"/>
        <v>#DIV/0!</v>
      </c>
      <c r="L109" s="6"/>
      <c r="M109" s="7"/>
      <c r="N109" s="85"/>
      <c r="O109" s="16" t="e">
        <f t="shared" si="19"/>
        <v>#DIV/0!</v>
      </c>
      <c r="P109" s="6"/>
      <c r="Q109" s="6"/>
      <c r="R109" s="11">
        <f t="shared" si="20"/>
        <v>0</v>
      </c>
      <c r="S109" s="112" t="e">
        <f>R109/N109</f>
        <v>#DIV/0!</v>
      </c>
      <c r="T109" s="85">
        <f t="shared" si="18"/>
        <v>0</v>
      </c>
    </row>
    <row r="110" spans="2:20" ht="0.75" customHeight="1">
      <c r="B110" s="49" t="s">
        <v>139</v>
      </c>
      <c r="C110" s="6">
        <v>0</v>
      </c>
      <c r="D110" s="6">
        <v>0</v>
      </c>
      <c r="E110" s="16"/>
      <c r="F110" s="7"/>
      <c r="G110" s="16"/>
      <c r="H110" s="7"/>
      <c r="I110" s="6"/>
      <c r="J110" s="6"/>
      <c r="K110" s="16"/>
      <c r="L110" s="6"/>
      <c r="M110" s="7"/>
      <c r="N110" s="85"/>
      <c r="O110" s="16" t="e">
        <f t="shared" si="19"/>
        <v>#DIV/0!</v>
      </c>
      <c r="P110" s="6"/>
      <c r="Q110" s="6"/>
      <c r="R110" s="7">
        <f t="shared" si="20"/>
        <v>0</v>
      </c>
      <c r="S110" s="112"/>
      <c r="T110" s="85">
        <f t="shared" si="18"/>
        <v>0</v>
      </c>
    </row>
    <row r="111" spans="2:20" ht="15.75">
      <c r="B111" s="13" t="s">
        <v>15</v>
      </c>
      <c r="C111" s="6">
        <v>300000</v>
      </c>
      <c r="D111" s="6">
        <v>246524</v>
      </c>
      <c r="E111" s="16">
        <f aca="true" t="shared" si="27" ref="E111:E116">D111/C111</f>
        <v>0.8217466666666666</v>
      </c>
      <c r="F111" s="7"/>
      <c r="G111" s="16">
        <f aca="true" t="shared" si="28" ref="G111:G116">D111/C111</f>
        <v>0.8217466666666666</v>
      </c>
      <c r="H111" s="7"/>
      <c r="I111" s="6">
        <v>478000</v>
      </c>
      <c r="J111" s="6">
        <v>284830</v>
      </c>
      <c r="K111" s="16">
        <f>J111/I111</f>
        <v>0.5958786610878661</v>
      </c>
      <c r="L111" s="6"/>
      <c r="M111" s="7">
        <v>450000</v>
      </c>
      <c r="N111" s="85">
        <v>35369</v>
      </c>
      <c r="O111" s="16">
        <f t="shared" si="19"/>
        <v>0.07859777777777778</v>
      </c>
      <c r="P111" s="6"/>
      <c r="Q111" s="6"/>
      <c r="R111" s="7">
        <f t="shared" si="20"/>
        <v>450000</v>
      </c>
      <c r="S111" s="112">
        <f aca="true" t="shared" si="29" ref="S111:S119">R111/N111</f>
        <v>12.723006022222851</v>
      </c>
      <c r="T111" s="85">
        <f t="shared" si="18"/>
        <v>414631</v>
      </c>
    </row>
    <row r="112" spans="2:20" ht="15.75" hidden="1">
      <c r="B112" s="22" t="s">
        <v>4</v>
      </c>
      <c r="C112" s="21" t="e">
        <v>#REF!</v>
      </c>
      <c r="D112" s="21"/>
      <c r="E112" s="16" t="e">
        <f t="shared" si="27"/>
        <v>#REF!</v>
      </c>
      <c r="F112" s="7"/>
      <c r="G112" s="16" t="e">
        <f t="shared" si="28"/>
        <v>#REF!</v>
      </c>
      <c r="H112" s="7"/>
      <c r="I112" s="6"/>
      <c r="J112" s="6"/>
      <c r="K112" s="16" t="e">
        <f>J112/I112</f>
        <v>#DIV/0!</v>
      </c>
      <c r="L112" s="6"/>
      <c r="M112" s="7"/>
      <c r="N112" s="85"/>
      <c r="O112" s="16" t="e">
        <f t="shared" si="19"/>
        <v>#DIV/0!</v>
      </c>
      <c r="P112" s="6"/>
      <c r="Q112" s="6"/>
      <c r="R112" s="7">
        <f t="shared" si="20"/>
        <v>0</v>
      </c>
      <c r="S112" s="112" t="e">
        <f t="shared" si="29"/>
        <v>#DIV/0!</v>
      </c>
      <c r="T112" s="85">
        <f t="shared" si="18"/>
        <v>0</v>
      </c>
    </row>
    <row r="113" spans="2:20" ht="15.75" hidden="1">
      <c r="B113" s="13" t="s">
        <v>68</v>
      </c>
      <c r="C113" s="6" t="e">
        <v>#REF!</v>
      </c>
      <c r="D113" s="6"/>
      <c r="E113" s="16" t="e">
        <f t="shared" si="27"/>
        <v>#REF!</v>
      </c>
      <c r="F113" s="7"/>
      <c r="G113" s="16" t="e">
        <f t="shared" si="28"/>
        <v>#REF!</v>
      </c>
      <c r="H113" s="7"/>
      <c r="I113" s="6"/>
      <c r="J113" s="6"/>
      <c r="K113" s="16" t="e">
        <f>J113/I113</f>
        <v>#DIV/0!</v>
      </c>
      <c r="L113" s="6"/>
      <c r="M113" s="7"/>
      <c r="N113" s="85"/>
      <c r="O113" s="16" t="e">
        <f t="shared" si="19"/>
        <v>#DIV/0!</v>
      </c>
      <c r="P113" s="6"/>
      <c r="Q113" s="6"/>
      <c r="R113" s="7">
        <f t="shared" si="20"/>
        <v>0</v>
      </c>
      <c r="S113" s="112" t="e">
        <f t="shared" si="29"/>
        <v>#DIV/0!</v>
      </c>
      <c r="T113" s="85">
        <f t="shared" si="18"/>
        <v>0</v>
      </c>
    </row>
    <row r="114" spans="2:20" ht="15.75" hidden="1">
      <c r="B114" s="13"/>
      <c r="C114" s="6" t="e">
        <v>#REF!</v>
      </c>
      <c r="D114" s="6"/>
      <c r="E114" s="16" t="e">
        <f t="shared" si="27"/>
        <v>#REF!</v>
      </c>
      <c r="F114" s="7"/>
      <c r="G114" s="16" t="e">
        <f t="shared" si="28"/>
        <v>#REF!</v>
      </c>
      <c r="H114" s="7"/>
      <c r="I114" s="6"/>
      <c r="J114" s="6"/>
      <c r="K114" s="16" t="e">
        <f>J114/I114</f>
        <v>#DIV/0!</v>
      </c>
      <c r="L114" s="6"/>
      <c r="M114" s="7"/>
      <c r="N114" s="85"/>
      <c r="O114" s="16" t="e">
        <f t="shared" si="19"/>
        <v>#DIV/0!</v>
      </c>
      <c r="P114" s="6"/>
      <c r="Q114" s="6"/>
      <c r="R114" s="7">
        <f t="shared" si="20"/>
        <v>0</v>
      </c>
      <c r="S114" s="112" t="e">
        <f t="shared" si="29"/>
        <v>#DIV/0!</v>
      </c>
      <c r="T114" s="85">
        <f t="shared" si="18"/>
        <v>0</v>
      </c>
    </row>
    <row r="115" spans="2:20" ht="15.75">
      <c r="B115" s="13" t="s">
        <v>167</v>
      </c>
      <c r="C115" s="6" t="e">
        <v>#REF!</v>
      </c>
      <c r="D115" s="6"/>
      <c r="E115" s="16" t="e">
        <f t="shared" si="27"/>
        <v>#REF!</v>
      </c>
      <c r="F115" s="7"/>
      <c r="G115" s="16" t="e">
        <f t="shared" si="28"/>
        <v>#REF!</v>
      </c>
      <c r="H115" s="7"/>
      <c r="I115" s="6"/>
      <c r="J115" s="6"/>
      <c r="K115" s="16" t="e">
        <f>J115/I115</f>
        <v>#DIV/0!</v>
      </c>
      <c r="L115" s="6"/>
      <c r="M115" s="7">
        <v>193000</v>
      </c>
      <c r="N115" s="85">
        <v>100000</v>
      </c>
      <c r="O115" s="16">
        <f t="shared" si="19"/>
        <v>0.5181347150259067</v>
      </c>
      <c r="P115" s="6"/>
      <c r="Q115" s="6"/>
      <c r="R115" s="7">
        <f t="shared" si="20"/>
        <v>193000</v>
      </c>
      <c r="S115" s="112">
        <f t="shared" si="29"/>
        <v>1.93</v>
      </c>
      <c r="T115" s="85">
        <f t="shared" si="18"/>
        <v>93000</v>
      </c>
    </row>
    <row r="116" spans="2:20" ht="15.75">
      <c r="B116" s="13" t="s">
        <v>34</v>
      </c>
      <c r="C116" s="6" t="e">
        <v>#REF!</v>
      </c>
      <c r="D116" s="6"/>
      <c r="E116" s="16" t="e">
        <f t="shared" si="27"/>
        <v>#REF!</v>
      </c>
      <c r="F116" s="7"/>
      <c r="G116" s="16" t="e">
        <f t="shared" si="28"/>
        <v>#REF!</v>
      </c>
      <c r="H116" s="7"/>
      <c r="I116" s="6"/>
      <c r="J116" s="6">
        <v>-6341</v>
      </c>
      <c r="K116" s="16"/>
      <c r="L116" s="6"/>
      <c r="M116" s="7"/>
      <c r="N116" s="85">
        <v>-18309</v>
      </c>
      <c r="O116" s="16"/>
      <c r="P116" s="6"/>
      <c r="Q116" s="6"/>
      <c r="R116" s="7">
        <f t="shared" si="20"/>
        <v>0</v>
      </c>
      <c r="S116" s="112">
        <f t="shared" si="29"/>
        <v>0</v>
      </c>
      <c r="T116" s="85">
        <f t="shared" si="18"/>
        <v>18309</v>
      </c>
    </row>
    <row r="117" spans="2:20" ht="15.75">
      <c r="B117" s="13" t="s">
        <v>138</v>
      </c>
      <c r="C117" s="6">
        <v>521000</v>
      </c>
      <c r="D117" s="6">
        <v>455532</v>
      </c>
      <c r="E117" s="16"/>
      <c r="F117" s="7"/>
      <c r="G117" s="16"/>
      <c r="H117" s="7"/>
      <c r="I117" s="6">
        <v>991300</v>
      </c>
      <c r="J117" s="6">
        <v>371215</v>
      </c>
      <c r="K117" s="16">
        <f>J117/I117</f>
        <v>0.3744729143548875</v>
      </c>
      <c r="L117" s="6"/>
      <c r="M117" s="7">
        <f>25000+634000+60000</f>
        <v>719000</v>
      </c>
      <c r="N117" s="85">
        <v>149460</v>
      </c>
      <c r="O117" s="16">
        <f t="shared" si="19"/>
        <v>0.20787204450625868</v>
      </c>
      <c r="P117" s="6"/>
      <c r="Q117" s="6"/>
      <c r="R117" s="7">
        <f t="shared" si="20"/>
        <v>719000</v>
      </c>
      <c r="S117" s="112">
        <f t="shared" si="29"/>
        <v>4.810651679379098</v>
      </c>
      <c r="T117" s="85">
        <f t="shared" si="18"/>
        <v>569540</v>
      </c>
    </row>
    <row r="118" spans="2:20" ht="15.75">
      <c r="B118" s="14" t="s">
        <v>11</v>
      </c>
      <c r="C118" s="15">
        <f>C119+C121+C124+C125</f>
        <v>2303000</v>
      </c>
      <c r="D118" s="15">
        <f>D119+D121+D125+D124</f>
        <v>2124052</v>
      </c>
      <c r="E118" s="18">
        <f>D118/C118</f>
        <v>0.9222978723404255</v>
      </c>
      <c r="F118" s="15">
        <f>F119+F121+F124</f>
        <v>0</v>
      </c>
      <c r="G118" s="18">
        <f>D118/C118</f>
        <v>0.9222978723404255</v>
      </c>
      <c r="H118" s="15">
        <f>H119+H121+H124+H125</f>
        <v>0</v>
      </c>
      <c r="I118" s="15">
        <f>I119+I121+I125</f>
        <v>2615000</v>
      </c>
      <c r="J118" s="15">
        <f>J119+J121+J125</f>
        <v>2329011</v>
      </c>
      <c r="K118" s="18">
        <f>J118/I118</f>
        <v>0.8906351816443595</v>
      </c>
      <c r="L118" s="15">
        <f>L119+L121</f>
        <v>0</v>
      </c>
      <c r="M118" s="15">
        <f>M119+M120+M121</f>
        <v>3905000</v>
      </c>
      <c r="N118" s="83">
        <f>N119+N120+N121</f>
        <v>1164163</v>
      </c>
      <c r="O118" s="18">
        <f t="shared" si="19"/>
        <v>0.2981211267605634</v>
      </c>
      <c r="P118" s="15">
        <f>P119+P120+P121</f>
        <v>-750000</v>
      </c>
      <c r="Q118" s="15"/>
      <c r="R118" s="15">
        <f t="shared" si="20"/>
        <v>3155000</v>
      </c>
      <c r="S118" s="111">
        <f t="shared" si="29"/>
        <v>2.710101592302796</v>
      </c>
      <c r="T118" s="83">
        <f t="shared" si="18"/>
        <v>1990837</v>
      </c>
    </row>
    <row r="119" spans="2:20" ht="15.75">
      <c r="B119" s="19" t="s">
        <v>2</v>
      </c>
      <c r="C119" s="6">
        <v>2213000</v>
      </c>
      <c r="D119" s="6">
        <v>2036568</v>
      </c>
      <c r="E119" s="16">
        <f>D119/C119</f>
        <v>0.9202747401717126</v>
      </c>
      <c r="F119" s="6"/>
      <c r="G119" s="16">
        <f>D119/C119</f>
        <v>0.9202747401717126</v>
      </c>
      <c r="H119" s="7"/>
      <c r="I119" s="6">
        <v>2515000</v>
      </c>
      <c r="J119" s="6">
        <v>2254994</v>
      </c>
      <c r="K119" s="16">
        <f>J119/I119</f>
        <v>0.8966178926441352</v>
      </c>
      <c r="L119" s="6"/>
      <c r="M119" s="7">
        <f>3805000-30000</f>
        <v>3775000</v>
      </c>
      <c r="N119" s="85">
        <v>1154474</v>
      </c>
      <c r="O119" s="16">
        <f t="shared" si="19"/>
        <v>0.3058209271523179</v>
      </c>
      <c r="P119" s="6">
        <v>-750000</v>
      </c>
      <c r="Q119" s="6"/>
      <c r="R119" s="7">
        <f t="shared" si="20"/>
        <v>3025000</v>
      </c>
      <c r="S119" s="112">
        <f t="shared" si="29"/>
        <v>2.6202409062482133</v>
      </c>
      <c r="T119" s="85">
        <f t="shared" si="18"/>
        <v>1870526</v>
      </c>
    </row>
    <row r="120" spans="2:20" ht="15.75">
      <c r="B120" s="114" t="s">
        <v>153</v>
      </c>
      <c r="C120" s="6"/>
      <c r="D120" s="6"/>
      <c r="E120" s="16"/>
      <c r="F120" s="6"/>
      <c r="G120" s="16"/>
      <c r="H120" s="7"/>
      <c r="I120" s="6"/>
      <c r="J120" s="6"/>
      <c r="K120" s="16"/>
      <c r="L120" s="6"/>
      <c r="M120" s="7">
        <v>30000</v>
      </c>
      <c r="N120" s="85">
        <v>8039</v>
      </c>
      <c r="O120" s="16">
        <f t="shared" si="19"/>
        <v>0.2679666666666667</v>
      </c>
      <c r="P120" s="6"/>
      <c r="Q120" s="6"/>
      <c r="R120" s="7">
        <f t="shared" si="20"/>
        <v>30000</v>
      </c>
      <c r="S120" s="112"/>
      <c r="T120" s="85">
        <f t="shared" si="18"/>
        <v>21961</v>
      </c>
    </row>
    <row r="121" spans="2:20" ht="13.5" customHeight="1">
      <c r="B121" s="13" t="s">
        <v>125</v>
      </c>
      <c r="C121" s="6">
        <v>90000</v>
      </c>
      <c r="D121" s="6">
        <v>87484</v>
      </c>
      <c r="E121" s="16">
        <f>D121/C121</f>
        <v>0.9720444444444445</v>
      </c>
      <c r="F121" s="6"/>
      <c r="G121" s="16">
        <f aca="true" t="shared" si="30" ref="G121:G127">D121/C121</f>
        <v>0.9720444444444445</v>
      </c>
      <c r="H121" s="7"/>
      <c r="I121" s="6">
        <v>100000</v>
      </c>
      <c r="J121" s="6">
        <v>74017</v>
      </c>
      <c r="K121" s="16">
        <f aca="true" t="shared" si="31" ref="K121:K131">J121/I121</f>
        <v>0.74017</v>
      </c>
      <c r="L121" s="6"/>
      <c r="M121" s="7">
        <v>100000</v>
      </c>
      <c r="N121" s="85">
        <v>1650</v>
      </c>
      <c r="O121" s="16">
        <f t="shared" si="19"/>
        <v>0.0165</v>
      </c>
      <c r="P121" s="6"/>
      <c r="Q121" s="6"/>
      <c r="R121" s="11">
        <f t="shared" si="20"/>
        <v>100000</v>
      </c>
      <c r="S121" s="112">
        <f aca="true" t="shared" si="32" ref="S121:S131">R121/N121</f>
        <v>60.60606060606061</v>
      </c>
      <c r="T121" s="85">
        <f t="shared" si="18"/>
        <v>98350</v>
      </c>
    </row>
    <row r="122" spans="2:20" ht="15.75" hidden="1">
      <c r="B122" s="13" t="s">
        <v>44</v>
      </c>
      <c r="C122" s="6" t="e">
        <v>#REF!</v>
      </c>
      <c r="D122" s="6"/>
      <c r="E122" s="16" t="e">
        <f>D122/C122</f>
        <v>#REF!</v>
      </c>
      <c r="F122" s="7"/>
      <c r="G122" s="16" t="e">
        <f t="shared" si="30"/>
        <v>#REF!</v>
      </c>
      <c r="H122" s="7"/>
      <c r="I122" s="6" t="e">
        <f>C122+H122</f>
        <v>#REF!</v>
      </c>
      <c r="J122" s="6"/>
      <c r="K122" s="18" t="e">
        <f t="shared" si="31"/>
        <v>#REF!</v>
      </c>
      <c r="L122" s="6"/>
      <c r="M122" s="15" t="e">
        <f aca="true" t="shared" si="33" ref="M122:M128">I122+L122</f>
        <v>#REF!</v>
      </c>
      <c r="N122" s="83"/>
      <c r="O122" s="18" t="e">
        <f t="shared" si="19"/>
        <v>#REF!</v>
      </c>
      <c r="P122" s="15"/>
      <c r="Q122" s="15"/>
      <c r="R122" s="11" t="e">
        <f t="shared" si="20"/>
        <v>#REF!</v>
      </c>
      <c r="S122" s="111" t="e">
        <f t="shared" si="32"/>
        <v>#REF!</v>
      </c>
      <c r="T122" s="83" t="e">
        <f t="shared" si="18"/>
        <v>#REF!</v>
      </c>
    </row>
    <row r="123" spans="2:20" ht="15.75" hidden="1">
      <c r="B123" s="13"/>
      <c r="C123" s="6" t="e">
        <v>#REF!</v>
      </c>
      <c r="D123" s="6"/>
      <c r="E123" s="16" t="e">
        <f>D123/C123</f>
        <v>#REF!</v>
      </c>
      <c r="F123" s="7"/>
      <c r="G123" s="16" t="e">
        <f t="shared" si="30"/>
        <v>#REF!</v>
      </c>
      <c r="H123" s="7"/>
      <c r="I123" s="6" t="e">
        <f>C123+H123</f>
        <v>#REF!</v>
      </c>
      <c r="J123" s="6"/>
      <c r="K123" s="18" t="e">
        <f t="shared" si="31"/>
        <v>#REF!</v>
      </c>
      <c r="L123" s="6"/>
      <c r="M123" s="15" t="e">
        <f t="shared" si="33"/>
        <v>#REF!</v>
      </c>
      <c r="N123" s="83"/>
      <c r="O123" s="18" t="e">
        <f t="shared" si="19"/>
        <v>#REF!</v>
      </c>
      <c r="P123" s="15"/>
      <c r="Q123" s="15"/>
      <c r="R123" s="11" t="e">
        <f t="shared" si="20"/>
        <v>#REF!</v>
      </c>
      <c r="S123" s="111" t="e">
        <f t="shared" si="32"/>
        <v>#REF!</v>
      </c>
      <c r="T123" s="83" t="e">
        <f t="shared" si="18"/>
        <v>#REF!</v>
      </c>
    </row>
    <row r="124" spans="2:20" ht="15.75" hidden="1">
      <c r="B124" s="13" t="s">
        <v>126</v>
      </c>
      <c r="C124" s="6">
        <v>0</v>
      </c>
      <c r="D124" s="6"/>
      <c r="E124" s="16"/>
      <c r="F124" s="7"/>
      <c r="G124" s="16" t="e">
        <f t="shared" si="30"/>
        <v>#DIV/0!</v>
      </c>
      <c r="H124" s="7"/>
      <c r="I124" s="6">
        <f>C124+H124</f>
        <v>0</v>
      </c>
      <c r="J124" s="6"/>
      <c r="K124" s="18" t="e">
        <f t="shared" si="31"/>
        <v>#DIV/0!</v>
      </c>
      <c r="L124" s="6"/>
      <c r="M124" s="15">
        <f t="shared" si="33"/>
        <v>0</v>
      </c>
      <c r="N124" s="83"/>
      <c r="O124" s="18" t="e">
        <f t="shared" si="19"/>
        <v>#DIV/0!</v>
      </c>
      <c r="P124" s="15"/>
      <c r="Q124" s="15"/>
      <c r="R124" s="11">
        <f t="shared" si="20"/>
        <v>0</v>
      </c>
      <c r="S124" s="111" t="e">
        <f t="shared" si="32"/>
        <v>#DIV/0!</v>
      </c>
      <c r="T124" s="83">
        <f t="shared" si="18"/>
        <v>0</v>
      </c>
    </row>
    <row r="125" spans="2:20" ht="15.75" hidden="1">
      <c r="B125" s="13" t="s">
        <v>34</v>
      </c>
      <c r="C125" s="6"/>
      <c r="D125" s="6"/>
      <c r="E125" s="16"/>
      <c r="F125" s="7"/>
      <c r="G125" s="16" t="e">
        <f t="shared" si="30"/>
        <v>#DIV/0!</v>
      </c>
      <c r="H125" s="7"/>
      <c r="I125" s="6">
        <f>C125+H125</f>
        <v>0</v>
      </c>
      <c r="J125" s="6"/>
      <c r="K125" s="18" t="e">
        <f t="shared" si="31"/>
        <v>#DIV/0!</v>
      </c>
      <c r="L125" s="6"/>
      <c r="M125" s="15">
        <f t="shared" si="33"/>
        <v>0</v>
      </c>
      <c r="N125" s="83"/>
      <c r="O125" s="18" t="e">
        <f t="shared" si="19"/>
        <v>#DIV/0!</v>
      </c>
      <c r="P125" s="15"/>
      <c r="Q125" s="15"/>
      <c r="R125" s="11">
        <f t="shared" si="20"/>
        <v>0</v>
      </c>
      <c r="S125" s="111" t="e">
        <f t="shared" si="32"/>
        <v>#DIV/0!</v>
      </c>
      <c r="T125" s="83">
        <f t="shared" si="18"/>
        <v>0</v>
      </c>
    </row>
    <row r="126" spans="2:20" ht="15.75">
      <c r="B126" s="14" t="s">
        <v>8</v>
      </c>
      <c r="C126" s="15">
        <f>C127+C133+C143+C141+C144</f>
        <v>20123865</v>
      </c>
      <c r="D126" s="15">
        <f>D127+D133+D142+D141+D143</f>
        <v>21247863</v>
      </c>
      <c r="E126" s="18">
        <f>D126/C126</f>
        <v>1.055853982323972</v>
      </c>
      <c r="F126" s="15">
        <f>F127+F133+F143+F141</f>
        <v>0</v>
      </c>
      <c r="G126" s="18">
        <f t="shared" si="30"/>
        <v>1.055853982323972</v>
      </c>
      <c r="H126" s="15">
        <f>H127+H133+H141+H143+H144</f>
        <v>0</v>
      </c>
      <c r="I126" s="15">
        <f>I127+I133+I141+I143+I142</f>
        <v>26336500</v>
      </c>
      <c r="J126" s="15">
        <f>J127+J133+J141+J143+J142</f>
        <v>23730233</v>
      </c>
      <c r="K126" s="18">
        <f t="shared" si="31"/>
        <v>0.9010397357279821</v>
      </c>
      <c r="L126" s="15">
        <f>L127+L133+L141+L142+L143</f>
        <v>0</v>
      </c>
      <c r="M126" s="15">
        <f>M127+M133+M141+M142+M143</f>
        <v>17014306</v>
      </c>
      <c r="N126" s="83">
        <f>N127+N133+N141+N142+N143</f>
        <v>8831839</v>
      </c>
      <c r="O126" s="18">
        <f t="shared" si="19"/>
        <v>0.5190831174659725</v>
      </c>
      <c r="P126" s="15">
        <f>P127+P133+P141++P142+P143</f>
        <v>265000</v>
      </c>
      <c r="Q126" s="15"/>
      <c r="R126" s="116">
        <f t="shared" si="20"/>
        <v>17279306</v>
      </c>
      <c r="S126" s="111">
        <f t="shared" si="32"/>
        <v>1.9564788262104869</v>
      </c>
      <c r="T126" s="83">
        <f t="shared" si="18"/>
        <v>8447467</v>
      </c>
    </row>
    <row r="127" spans="2:20" ht="15.75">
      <c r="B127" s="20" t="s">
        <v>2</v>
      </c>
      <c r="C127" s="38">
        <f>C128+C129+C130+C131</f>
        <v>3412000</v>
      </c>
      <c r="D127" s="38">
        <f>D129+D131</f>
        <v>3400626</v>
      </c>
      <c r="E127" s="26">
        <f>D127/C127</f>
        <v>0.9966664712778429</v>
      </c>
      <c r="F127" s="21">
        <f>F128+F129+F130+F131</f>
        <v>0</v>
      </c>
      <c r="G127" s="26">
        <f t="shared" si="30"/>
        <v>0.9966664712778429</v>
      </c>
      <c r="H127" s="21">
        <f>H129+H131</f>
        <v>0</v>
      </c>
      <c r="I127" s="21">
        <f>I128+I129+I130+I131</f>
        <v>4462210</v>
      </c>
      <c r="J127" s="21">
        <v>4056406</v>
      </c>
      <c r="K127" s="26">
        <f t="shared" si="31"/>
        <v>0.9090576194307305</v>
      </c>
      <c r="L127" s="21">
        <f>L129+L131</f>
        <v>0</v>
      </c>
      <c r="M127" s="21">
        <f>M129+M131+M132</f>
        <v>608881</v>
      </c>
      <c r="N127" s="21">
        <v>515889</v>
      </c>
      <c r="O127" s="26">
        <f t="shared" si="19"/>
        <v>0.8472739336586295</v>
      </c>
      <c r="P127" s="21">
        <f>P129+P131+P132</f>
        <v>70000</v>
      </c>
      <c r="Q127" s="21"/>
      <c r="R127" s="117">
        <f t="shared" si="20"/>
        <v>678881</v>
      </c>
      <c r="S127" s="113">
        <f t="shared" si="32"/>
        <v>1.315943933675655</v>
      </c>
      <c r="T127" s="84">
        <f t="shared" si="18"/>
        <v>162992</v>
      </c>
    </row>
    <row r="128" spans="2:20" ht="15.75" hidden="1">
      <c r="B128" s="13" t="s">
        <v>40</v>
      </c>
      <c r="C128" s="6">
        <v>0</v>
      </c>
      <c r="D128" s="6"/>
      <c r="E128" s="16"/>
      <c r="F128" s="6"/>
      <c r="G128" s="16"/>
      <c r="H128" s="7"/>
      <c r="I128" s="6">
        <f>C128+H128</f>
        <v>0</v>
      </c>
      <c r="J128" s="6"/>
      <c r="K128" s="18" t="e">
        <f t="shared" si="31"/>
        <v>#DIV/0!</v>
      </c>
      <c r="L128" s="6"/>
      <c r="M128" s="15">
        <f t="shared" si="33"/>
        <v>0</v>
      </c>
      <c r="N128" s="83"/>
      <c r="O128" s="18" t="e">
        <f t="shared" si="19"/>
        <v>#DIV/0!</v>
      </c>
      <c r="P128" s="15"/>
      <c r="Q128" s="15"/>
      <c r="R128" s="11">
        <f t="shared" si="20"/>
        <v>0</v>
      </c>
      <c r="S128" s="111" t="e">
        <f t="shared" si="32"/>
        <v>#DIV/0!</v>
      </c>
      <c r="T128" s="83">
        <f t="shared" si="18"/>
        <v>0</v>
      </c>
    </row>
    <row r="129" spans="2:20" ht="15" customHeight="1">
      <c r="B129" s="13" t="s">
        <v>41</v>
      </c>
      <c r="C129" s="6">
        <v>193000</v>
      </c>
      <c r="D129" s="6">
        <v>188568</v>
      </c>
      <c r="E129" s="16">
        <f>D129/C129</f>
        <v>0.9770362694300518</v>
      </c>
      <c r="F129" s="6"/>
      <c r="G129" s="16">
        <f>D129/C129</f>
        <v>0.9770362694300518</v>
      </c>
      <c r="H129" s="6"/>
      <c r="I129" s="6">
        <v>197210</v>
      </c>
      <c r="J129" s="6"/>
      <c r="K129" s="16">
        <f t="shared" si="31"/>
        <v>0</v>
      </c>
      <c r="L129" s="6"/>
      <c r="M129" s="6">
        <v>230000</v>
      </c>
      <c r="N129" s="85"/>
      <c r="O129" s="16">
        <f t="shared" si="19"/>
        <v>0</v>
      </c>
      <c r="P129" s="6">
        <v>70000</v>
      </c>
      <c r="Q129" s="6"/>
      <c r="R129" s="11">
        <f t="shared" si="20"/>
        <v>300000</v>
      </c>
      <c r="S129" s="112" t="e">
        <f t="shared" si="32"/>
        <v>#DIV/0!</v>
      </c>
      <c r="T129" s="85">
        <f t="shared" si="18"/>
        <v>300000</v>
      </c>
    </row>
    <row r="130" spans="2:20" ht="15.75" hidden="1">
      <c r="B130" s="13" t="s">
        <v>59</v>
      </c>
      <c r="C130" s="6">
        <v>0</v>
      </c>
      <c r="D130" s="6"/>
      <c r="E130" s="16"/>
      <c r="F130" s="6"/>
      <c r="G130" s="16"/>
      <c r="H130" s="6"/>
      <c r="I130" s="6"/>
      <c r="J130" s="6"/>
      <c r="K130" s="16" t="e">
        <f t="shared" si="31"/>
        <v>#DIV/0!</v>
      </c>
      <c r="L130" s="6"/>
      <c r="M130" s="7"/>
      <c r="N130" s="85"/>
      <c r="O130" s="16" t="e">
        <f t="shared" si="19"/>
        <v>#DIV/0!</v>
      </c>
      <c r="P130" s="6"/>
      <c r="Q130" s="6"/>
      <c r="R130" s="11">
        <f t="shared" si="20"/>
        <v>0</v>
      </c>
      <c r="S130" s="112" t="e">
        <f t="shared" si="32"/>
        <v>#DIV/0!</v>
      </c>
      <c r="T130" s="85">
        <f t="shared" si="18"/>
        <v>0</v>
      </c>
    </row>
    <row r="131" spans="2:20" s="55" customFormat="1" ht="15.75">
      <c r="B131" s="19" t="s">
        <v>60</v>
      </c>
      <c r="C131" s="6">
        <v>3219000</v>
      </c>
      <c r="D131" s="6">
        <v>3212058</v>
      </c>
      <c r="E131" s="16">
        <f>D131/C131</f>
        <v>0.997843429636533</v>
      </c>
      <c r="F131" s="6"/>
      <c r="G131" s="16">
        <f>D131/C131</f>
        <v>0.997843429636533</v>
      </c>
      <c r="H131" s="6"/>
      <c r="I131" s="6">
        <v>4265000</v>
      </c>
      <c r="J131" s="6"/>
      <c r="K131" s="16">
        <f t="shared" si="31"/>
        <v>0</v>
      </c>
      <c r="L131" s="6"/>
      <c r="M131" s="6">
        <v>378881</v>
      </c>
      <c r="N131" s="85"/>
      <c r="O131" s="16">
        <f t="shared" si="19"/>
        <v>0</v>
      </c>
      <c r="P131" s="6"/>
      <c r="Q131" s="6"/>
      <c r="R131" s="11">
        <f t="shared" si="20"/>
        <v>378881</v>
      </c>
      <c r="S131" s="112" t="e">
        <f t="shared" si="32"/>
        <v>#DIV/0!</v>
      </c>
      <c r="T131" s="85">
        <f t="shared" si="18"/>
        <v>378881</v>
      </c>
    </row>
    <row r="132" spans="2:20" s="55" customFormat="1" ht="15.75">
      <c r="B132" s="114" t="s">
        <v>153</v>
      </c>
      <c r="C132" s="6"/>
      <c r="D132" s="6"/>
      <c r="E132" s="16"/>
      <c r="F132" s="6"/>
      <c r="G132" s="16"/>
      <c r="H132" s="6"/>
      <c r="I132" s="6"/>
      <c r="J132" s="6"/>
      <c r="K132" s="16"/>
      <c r="L132" s="6"/>
      <c r="M132" s="6"/>
      <c r="N132" s="85"/>
      <c r="O132" s="16"/>
      <c r="P132" s="6"/>
      <c r="Q132" s="6"/>
      <c r="R132" s="11">
        <f t="shared" si="20"/>
        <v>0</v>
      </c>
      <c r="S132" s="112"/>
      <c r="T132" s="85"/>
    </row>
    <row r="133" spans="2:20" ht="15.75">
      <c r="B133" s="20" t="s">
        <v>3</v>
      </c>
      <c r="C133" s="21">
        <f>C138+C140+C134+C135+C136+C137+C139</f>
        <v>10585000</v>
      </c>
      <c r="D133" s="21">
        <f>D135+D137+D138+D139+D140</f>
        <v>10164304</v>
      </c>
      <c r="E133" s="26">
        <f>D133/C133</f>
        <v>0.960255455833727</v>
      </c>
      <c r="F133" s="21">
        <f>F134+F135+F136+F137+F138+F140+F139</f>
        <v>0</v>
      </c>
      <c r="G133" s="26">
        <f>D133/C133</f>
        <v>0.960255455833727</v>
      </c>
      <c r="H133" s="21">
        <f>H135+H137+H138+H139+H140</f>
        <v>0</v>
      </c>
      <c r="I133" s="21">
        <f>I134+I135+I136+I137+I138+I139+I140</f>
        <v>10599290</v>
      </c>
      <c r="J133" s="21">
        <v>9266827</v>
      </c>
      <c r="K133" s="26">
        <f aca="true" t="shared" si="34" ref="K133:K149">J133/I133</f>
        <v>0.8742875230322031</v>
      </c>
      <c r="L133" s="21">
        <f>L135+L137+L138+L139+L140</f>
        <v>0</v>
      </c>
      <c r="M133" s="21">
        <f>M135+M137+M138+M139+M140</f>
        <v>6821925</v>
      </c>
      <c r="N133" s="84">
        <v>3091925</v>
      </c>
      <c r="O133" s="26">
        <f t="shared" si="19"/>
        <v>0.4532335081373659</v>
      </c>
      <c r="P133" s="21">
        <f>P135+P137+P138+P139+P140</f>
        <v>75000</v>
      </c>
      <c r="Q133" s="21"/>
      <c r="R133" s="117">
        <f t="shared" si="20"/>
        <v>6896925</v>
      </c>
      <c r="S133" s="113">
        <f aca="true" t="shared" si="35" ref="S133:S149">R133/N133</f>
        <v>2.230624934304681</v>
      </c>
      <c r="T133" s="84">
        <f aca="true" t="shared" si="36" ref="T133:T184">R133-N133</f>
        <v>3805000</v>
      </c>
    </row>
    <row r="134" spans="2:20" ht="15.75" hidden="1">
      <c r="B134" s="13" t="s">
        <v>40</v>
      </c>
      <c r="C134" s="6">
        <v>0</v>
      </c>
      <c r="D134" s="6"/>
      <c r="E134" s="16"/>
      <c r="F134" s="6"/>
      <c r="G134" s="16"/>
      <c r="H134" s="6"/>
      <c r="I134" s="6">
        <f>C134+H134</f>
        <v>0</v>
      </c>
      <c r="J134" s="6"/>
      <c r="K134" s="18" t="e">
        <f t="shared" si="34"/>
        <v>#DIV/0!</v>
      </c>
      <c r="L134" s="6"/>
      <c r="M134" s="15">
        <f>I134+L134</f>
        <v>0</v>
      </c>
      <c r="N134" s="83"/>
      <c r="O134" s="18" t="e">
        <f t="shared" si="19"/>
        <v>#DIV/0!</v>
      </c>
      <c r="P134" s="15"/>
      <c r="Q134" s="15"/>
      <c r="R134" s="11">
        <f t="shared" si="20"/>
        <v>0</v>
      </c>
      <c r="S134" s="111" t="e">
        <f t="shared" si="35"/>
        <v>#DIV/0!</v>
      </c>
      <c r="T134" s="83">
        <f t="shared" si="36"/>
        <v>0</v>
      </c>
    </row>
    <row r="135" spans="2:20" ht="15" customHeight="1">
      <c r="B135" s="13" t="s">
        <v>41</v>
      </c>
      <c r="C135" s="6">
        <v>3620000</v>
      </c>
      <c r="D135" s="6">
        <v>3567575</v>
      </c>
      <c r="E135" s="16">
        <f>D135/C135</f>
        <v>0.985517955801105</v>
      </c>
      <c r="F135" s="6"/>
      <c r="G135" s="16">
        <f>D135/C135</f>
        <v>0.985517955801105</v>
      </c>
      <c r="H135" s="6"/>
      <c r="I135" s="6">
        <v>3354290</v>
      </c>
      <c r="J135" s="6"/>
      <c r="K135" s="16">
        <f t="shared" si="34"/>
        <v>0</v>
      </c>
      <c r="L135" s="6"/>
      <c r="M135" s="6">
        <v>3350000</v>
      </c>
      <c r="N135" s="6"/>
      <c r="O135" s="16">
        <f t="shared" si="19"/>
        <v>0</v>
      </c>
      <c r="P135" s="6">
        <v>75000</v>
      </c>
      <c r="Q135" s="6"/>
      <c r="R135" s="7">
        <f t="shared" si="20"/>
        <v>3425000</v>
      </c>
      <c r="S135" s="112" t="e">
        <f t="shared" si="35"/>
        <v>#DIV/0!</v>
      </c>
      <c r="T135" s="85">
        <f t="shared" si="36"/>
        <v>3425000</v>
      </c>
    </row>
    <row r="136" spans="2:20" ht="0.75" customHeight="1">
      <c r="B136" s="13" t="s">
        <v>59</v>
      </c>
      <c r="C136" s="6">
        <v>0</v>
      </c>
      <c r="D136" s="6"/>
      <c r="E136" s="16"/>
      <c r="F136" s="6"/>
      <c r="G136" s="16"/>
      <c r="H136" s="6"/>
      <c r="I136" s="6"/>
      <c r="J136" s="6"/>
      <c r="K136" s="16" t="e">
        <f t="shared" si="34"/>
        <v>#DIV/0!</v>
      </c>
      <c r="L136" s="6"/>
      <c r="M136" s="7"/>
      <c r="N136" s="6"/>
      <c r="O136" s="16" t="e">
        <f t="shared" si="19"/>
        <v>#DIV/0!</v>
      </c>
      <c r="P136" s="6"/>
      <c r="Q136" s="6"/>
      <c r="R136" s="7">
        <f t="shared" si="20"/>
        <v>0</v>
      </c>
      <c r="S136" s="112" t="e">
        <f t="shared" si="35"/>
        <v>#DIV/0!</v>
      </c>
      <c r="T136" s="85">
        <f t="shared" si="36"/>
        <v>0</v>
      </c>
    </row>
    <row r="137" spans="2:20" ht="15.75">
      <c r="B137" s="19" t="s">
        <v>60</v>
      </c>
      <c r="C137" s="6">
        <v>1145000</v>
      </c>
      <c r="D137" s="6">
        <v>1070386</v>
      </c>
      <c r="E137" s="16">
        <f>D137/C137</f>
        <v>0.9348349344978166</v>
      </c>
      <c r="F137" s="6"/>
      <c r="G137" s="16">
        <f aca="true" t="shared" si="37" ref="G137:G149">D137/C137</f>
        <v>0.9348349344978166</v>
      </c>
      <c r="H137" s="6"/>
      <c r="I137" s="6">
        <v>1175000</v>
      </c>
      <c r="J137" s="6"/>
      <c r="K137" s="16">
        <f t="shared" si="34"/>
        <v>0</v>
      </c>
      <c r="L137" s="6"/>
      <c r="M137" s="7">
        <v>71925</v>
      </c>
      <c r="N137" s="6"/>
      <c r="O137" s="16">
        <f t="shared" si="19"/>
        <v>0</v>
      </c>
      <c r="P137" s="6"/>
      <c r="Q137" s="6"/>
      <c r="R137" s="7">
        <f t="shared" si="20"/>
        <v>71925</v>
      </c>
      <c r="S137" s="112" t="e">
        <f t="shared" si="35"/>
        <v>#DIV/0!</v>
      </c>
      <c r="T137" s="85">
        <f t="shared" si="36"/>
        <v>71925</v>
      </c>
    </row>
    <row r="138" spans="2:20" ht="15.75">
      <c r="B138" s="13" t="s">
        <v>42</v>
      </c>
      <c r="C138" s="6">
        <v>3870000</v>
      </c>
      <c r="D138" s="6">
        <v>3576353</v>
      </c>
      <c r="E138" s="16">
        <f>D138/C138</f>
        <v>0.9241222222222222</v>
      </c>
      <c r="F138" s="7"/>
      <c r="G138" s="16">
        <f t="shared" si="37"/>
        <v>0.9241222222222222</v>
      </c>
      <c r="H138" s="7"/>
      <c r="I138" s="6">
        <v>4170000</v>
      </c>
      <c r="J138" s="6"/>
      <c r="K138" s="16">
        <f t="shared" si="34"/>
        <v>0</v>
      </c>
      <c r="L138" s="6"/>
      <c r="M138" s="7">
        <v>3200000</v>
      </c>
      <c r="N138" s="6"/>
      <c r="O138" s="16">
        <f t="shared" si="19"/>
        <v>0</v>
      </c>
      <c r="P138" s="6"/>
      <c r="Q138" s="6"/>
      <c r="R138" s="7">
        <f t="shared" si="20"/>
        <v>3200000</v>
      </c>
      <c r="S138" s="112" t="e">
        <f t="shared" si="35"/>
        <v>#DIV/0!</v>
      </c>
      <c r="T138" s="85">
        <f t="shared" si="36"/>
        <v>3200000</v>
      </c>
    </row>
    <row r="139" spans="2:20" ht="15.75">
      <c r="B139" s="13" t="s">
        <v>130</v>
      </c>
      <c r="C139" s="6">
        <v>1700000</v>
      </c>
      <c r="D139" s="6">
        <v>1700000</v>
      </c>
      <c r="E139" s="16"/>
      <c r="F139" s="7"/>
      <c r="G139" s="16">
        <f t="shared" si="37"/>
        <v>1</v>
      </c>
      <c r="H139" s="7"/>
      <c r="I139" s="6">
        <v>1700000</v>
      </c>
      <c r="J139" s="6"/>
      <c r="K139" s="16">
        <f t="shared" si="34"/>
        <v>0</v>
      </c>
      <c r="L139" s="6"/>
      <c r="M139" s="7"/>
      <c r="N139" s="6"/>
      <c r="O139" s="16"/>
      <c r="P139" s="6"/>
      <c r="Q139" s="6"/>
      <c r="R139" s="7">
        <f t="shared" si="20"/>
        <v>0</v>
      </c>
      <c r="S139" s="112" t="e">
        <f t="shared" si="35"/>
        <v>#DIV/0!</v>
      </c>
      <c r="T139" s="85">
        <f t="shared" si="36"/>
        <v>0</v>
      </c>
    </row>
    <row r="140" spans="2:20" s="55" customFormat="1" ht="15.75">
      <c r="B140" s="19" t="s">
        <v>43</v>
      </c>
      <c r="C140" s="6">
        <v>250000</v>
      </c>
      <c r="D140" s="6">
        <v>249990</v>
      </c>
      <c r="E140" s="16">
        <f>D140/C140</f>
        <v>0.99996</v>
      </c>
      <c r="F140" s="6"/>
      <c r="G140" s="16">
        <f t="shared" si="37"/>
        <v>0.99996</v>
      </c>
      <c r="H140" s="6"/>
      <c r="I140" s="6">
        <v>200000</v>
      </c>
      <c r="J140" s="6"/>
      <c r="K140" s="16">
        <f t="shared" si="34"/>
        <v>0</v>
      </c>
      <c r="L140" s="6"/>
      <c r="M140" s="6">
        <v>200000</v>
      </c>
      <c r="N140" s="6"/>
      <c r="O140" s="16">
        <f aca="true" t="shared" si="38" ref="O140:O203">N140/M140</f>
        <v>0</v>
      </c>
      <c r="P140" s="6"/>
      <c r="Q140" s="6"/>
      <c r="R140" s="7">
        <f t="shared" si="20"/>
        <v>200000</v>
      </c>
      <c r="S140" s="112" t="e">
        <f t="shared" si="35"/>
        <v>#DIV/0!</v>
      </c>
      <c r="T140" s="85">
        <f t="shared" si="36"/>
        <v>200000</v>
      </c>
    </row>
    <row r="141" spans="2:20" ht="15.75">
      <c r="B141" s="22" t="s">
        <v>143</v>
      </c>
      <c r="C141" s="21">
        <v>6001865</v>
      </c>
      <c r="D141" s="21">
        <v>5751865</v>
      </c>
      <c r="E141" s="26">
        <f>D141/C141</f>
        <v>0.9583462806977497</v>
      </c>
      <c r="F141" s="21"/>
      <c r="G141" s="26">
        <f t="shared" si="37"/>
        <v>0.9583462806977497</v>
      </c>
      <c r="H141" s="21"/>
      <c r="I141" s="21">
        <v>8444000</v>
      </c>
      <c r="J141" s="21">
        <v>7631000</v>
      </c>
      <c r="K141" s="26">
        <f t="shared" si="34"/>
        <v>0.9037186167693037</v>
      </c>
      <c r="L141" s="21"/>
      <c r="M141" s="21">
        <v>7500000</v>
      </c>
      <c r="N141" s="122">
        <v>3713254</v>
      </c>
      <c r="O141" s="26">
        <f t="shared" si="38"/>
        <v>0.4951005333333333</v>
      </c>
      <c r="P141" s="21"/>
      <c r="Q141" s="21"/>
      <c r="R141" s="21">
        <f aca="true" t="shared" si="39" ref="R141:R204">M141+P141</f>
        <v>7500000</v>
      </c>
      <c r="S141" s="113">
        <f t="shared" si="35"/>
        <v>2.0197918052468267</v>
      </c>
      <c r="T141" s="84">
        <f t="shared" si="36"/>
        <v>3786746</v>
      </c>
    </row>
    <row r="142" spans="2:20" ht="15.75">
      <c r="B142" s="22" t="s">
        <v>144</v>
      </c>
      <c r="C142" s="21">
        <v>1875000</v>
      </c>
      <c r="D142" s="21">
        <v>1857068</v>
      </c>
      <c r="E142" s="18">
        <f>D142/C142</f>
        <v>0.9904362666666666</v>
      </c>
      <c r="F142" s="7"/>
      <c r="G142" s="26">
        <f t="shared" si="37"/>
        <v>0.9904362666666666</v>
      </c>
      <c r="H142" s="21">
        <v>0</v>
      </c>
      <c r="I142" s="21">
        <v>2706000</v>
      </c>
      <c r="J142" s="21">
        <v>2706000</v>
      </c>
      <c r="K142" s="26">
        <f t="shared" si="34"/>
        <v>1</v>
      </c>
      <c r="L142" s="21"/>
      <c r="M142" s="21">
        <v>2000000</v>
      </c>
      <c r="N142" s="21">
        <v>1472271</v>
      </c>
      <c r="O142" s="26">
        <f t="shared" si="38"/>
        <v>0.7361355</v>
      </c>
      <c r="P142" s="21">
        <v>120000</v>
      </c>
      <c r="Q142" s="21"/>
      <c r="R142" s="117">
        <f t="shared" si="39"/>
        <v>2120000</v>
      </c>
      <c r="S142" s="113">
        <f t="shared" si="35"/>
        <v>1.439952291392006</v>
      </c>
      <c r="T142" s="84">
        <f t="shared" si="36"/>
        <v>647729</v>
      </c>
    </row>
    <row r="143" spans="2:20" ht="15.75">
      <c r="B143" s="22" t="s">
        <v>71</v>
      </c>
      <c r="C143" s="21">
        <v>125000</v>
      </c>
      <c r="D143" s="21">
        <v>74000</v>
      </c>
      <c r="E143" s="26">
        <f>D143/C143</f>
        <v>0.592</v>
      </c>
      <c r="F143" s="21"/>
      <c r="G143" s="26">
        <f t="shared" si="37"/>
        <v>0.592</v>
      </c>
      <c r="H143" s="21">
        <v>0</v>
      </c>
      <c r="I143" s="21">
        <v>125000</v>
      </c>
      <c r="J143" s="21">
        <v>70000</v>
      </c>
      <c r="K143" s="26">
        <f t="shared" si="34"/>
        <v>0.56</v>
      </c>
      <c r="L143" s="21"/>
      <c r="M143" s="21">
        <v>83500</v>
      </c>
      <c r="N143" s="21">
        <v>38500</v>
      </c>
      <c r="O143" s="26">
        <f t="shared" si="38"/>
        <v>0.46107784431137727</v>
      </c>
      <c r="P143" s="21"/>
      <c r="Q143" s="21"/>
      <c r="R143" s="117">
        <f t="shared" si="39"/>
        <v>83500</v>
      </c>
      <c r="S143" s="113">
        <f t="shared" si="35"/>
        <v>2.168831168831169</v>
      </c>
      <c r="T143" s="84">
        <f t="shared" si="36"/>
        <v>45000</v>
      </c>
    </row>
    <row r="144" spans="2:20" ht="15.75" hidden="1">
      <c r="B144" s="13" t="s">
        <v>34</v>
      </c>
      <c r="C144" s="6"/>
      <c r="D144" s="6"/>
      <c r="E144" s="16"/>
      <c r="F144" s="7"/>
      <c r="G144" s="16" t="e">
        <f t="shared" si="37"/>
        <v>#DIV/0!</v>
      </c>
      <c r="H144" s="7"/>
      <c r="I144" s="6">
        <f>C144+H144</f>
        <v>0</v>
      </c>
      <c r="J144" s="6"/>
      <c r="K144" s="18" t="e">
        <f t="shared" si="34"/>
        <v>#DIV/0!</v>
      </c>
      <c r="L144" s="6"/>
      <c r="M144" s="15">
        <f>I144+L144</f>
        <v>0</v>
      </c>
      <c r="N144" s="15"/>
      <c r="O144" s="18" t="e">
        <f t="shared" si="38"/>
        <v>#DIV/0!</v>
      </c>
      <c r="P144" s="15"/>
      <c r="Q144" s="15"/>
      <c r="R144" s="11">
        <f t="shared" si="39"/>
        <v>0</v>
      </c>
      <c r="S144" s="111" t="e">
        <f t="shared" si="35"/>
        <v>#DIV/0!</v>
      </c>
      <c r="T144" s="83">
        <f t="shared" si="36"/>
        <v>0</v>
      </c>
    </row>
    <row r="145" spans="2:20" ht="15.75">
      <c r="B145" s="14" t="s">
        <v>6</v>
      </c>
      <c r="C145" s="24">
        <f>C146+C151+C155+C161+C171</f>
        <v>21700700</v>
      </c>
      <c r="D145" s="24">
        <f>D146+D151+D155+D161+D171</f>
        <v>21239446</v>
      </c>
      <c r="E145" s="18">
        <f>D145/C145</f>
        <v>0.9787447409530569</v>
      </c>
      <c r="F145" s="15">
        <f>F146+F151+F155+F161</f>
        <v>0</v>
      </c>
      <c r="G145" s="18">
        <f t="shared" si="37"/>
        <v>0.9787447409530569</v>
      </c>
      <c r="H145" s="15">
        <f>H146+H151+H155+H157+H161+H171</f>
        <v>0</v>
      </c>
      <c r="I145" s="15">
        <v>29297300</v>
      </c>
      <c r="J145" s="15">
        <f>J146+J151+J155+J161+J171</f>
        <v>25298895</v>
      </c>
      <c r="K145" s="18">
        <f t="shared" si="34"/>
        <v>0.8635230891583866</v>
      </c>
      <c r="L145" s="15"/>
      <c r="M145" s="15">
        <f>M146+M150+M151+M155+M157+M161+M172</f>
        <v>34407083</v>
      </c>
      <c r="N145" s="15">
        <f>N146+N150+N151+N155+N157+N161+N172</f>
        <v>12450541</v>
      </c>
      <c r="O145" s="18">
        <f t="shared" si="38"/>
        <v>0.36185982403681244</v>
      </c>
      <c r="P145" s="15">
        <f>P146+P150+P151+P155+P157+P161+P172</f>
        <v>24000</v>
      </c>
      <c r="Q145" s="15"/>
      <c r="R145" s="116">
        <f t="shared" si="39"/>
        <v>34431083</v>
      </c>
      <c r="S145" s="111">
        <f t="shared" si="35"/>
        <v>2.7654286669149557</v>
      </c>
      <c r="T145" s="83">
        <f t="shared" si="36"/>
        <v>21980542</v>
      </c>
    </row>
    <row r="146" spans="2:20" ht="15.75">
      <c r="B146" s="25" t="s">
        <v>21</v>
      </c>
      <c r="C146" s="21">
        <f>C147+C148+C149</f>
        <v>8445000</v>
      </c>
      <c r="D146" s="21">
        <v>8308720</v>
      </c>
      <c r="E146" s="26">
        <f>D146/C146</f>
        <v>0.983862640615749</v>
      </c>
      <c r="F146" s="21">
        <f>F147+F148+F149</f>
        <v>0</v>
      </c>
      <c r="G146" s="26">
        <f t="shared" si="37"/>
        <v>0.983862640615749</v>
      </c>
      <c r="H146" s="21">
        <f>H147+H148+H149</f>
        <v>0</v>
      </c>
      <c r="I146" s="21">
        <f>I147+I148+I149</f>
        <v>12339000</v>
      </c>
      <c r="J146" s="21">
        <v>10538555</v>
      </c>
      <c r="K146" s="26">
        <f t="shared" si="34"/>
        <v>0.8540850149931113</v>
      </c>
      <c r="L146" s="21">
        <f>L147+L148+L149</f>
        <v>0</v>
      </c>
      <c r="M146" s="21">
        <f>M147+M148+M149</f>
        <v>12874000</v>
      </c>
      <c r="N146" s="21">
        <v>5235716</v>
      </c>
      <c r="O146" s="26">
        <f t="shared" si="38"/>
        <v>0.40668914090414787</v>
      </c>
      <c r="P146" s="21">
        <f>P147+P148+P149</f>
        <v>0</v>
      </c>
      <c r="Q146" s="21"/>
      <c r="R146" s="117">
        <f t="shared" si="39"/>
        <v>12874000</v>
      </c>
      <c r="S146" s="113">
        <f t="shared" si="35"/>
        <v>2.458880504595742</v>
      </c>
      <c r="T146" s="84">
        <f t="shared" si="36"/>
        <v>7638284</v>
      </c>
    </row>
    <row r="147" spans="2:20" ht="15.75">
      <c r="B147" s="19" t="s">
        <v>22</v>
      </c>
      <c r="C147" s="6">
        <v>1865000</v>
      </c>
      <c r="D147" s="6"/>
      <c r="E147" s="16">
        <f>D147/C147</f>
        <v>0</v>
      </c>
      <c r="F147" s="6"/>
      <c r="G147" s="16">
        <f t="shared" si="37"/>
        <v>0</v>
      </c>
      <c r="H147" s="6"/>
      <c r="I147" s="6">
        <v>2540000</v>
      </c>
      <c r="J147" s="6"/>
      <c r="K147" s="16">
        <f t="shared" si="34"/>
        <v>0</v>
      </c>
      <c r="L147" s="6"/>
      <c r="M147" s="7">
        <f>3050000-30000</f>
        <v>3020000</v>
      </c>
      <c r="N147" s="6"/>
      <c r="O147" s="16">
        <f t="shared" si="38"/>
        <v>0</v>
      </c>
      <c r="P147" s="6"/>
      <c r="Q147" s="6"/>
      <c r="R147" s="11">
        <f t="shared" si="39"/>
        <v>3020000</v>
      </c>
      <c r="S147" s="112" t="e">
        <f t="shared" si="35"/>
        <v>#DIV/0!</v>
      </c>
      <c r="T147" s="85">
        <f t="shared" si="36"/>
        <v>3020000</v>
      </c>
    </row>
    <row r="148" spans="2:20" ht="15.75">
      <c r="B148" s="13" t="s">
        <v>124</v>
      </c>
      <c r="C148" s="6">
        <v>5250000</v>
      </c>
      <c r="D148" s="6"/>
      <c r="E148" s="16">
        <f>D148/C148</f>
        <v>0</v>
      </c>
      <c r="F148" s="6"/>
      <c r="G148" s="16">
        <f t="shared" si="37"/>
        <v>0</v>
      </c>
      <c r="H148" s="7"/>
      <c r="I148" s="6">
        <v>8034000</v>
      </c>
      <c r="J148" s="6"/>
      <c r="K148" s="16">
        <f t="shared" si="34"/>
        <v>0</v>
      </c>
      <c r="L148" s="6"/>
      <c r="M148" s="7">
        <v>7814000</v>
      </c>
      <c r="N148" s="6"/>
      <c r="O148" s="16">
        <f t="shared" si="38"/>
        <v>0</v>
      </c>
      <c r="P148" s="6"/>
      <c r="Q148" s="6"/>
      <c r="R148" s="11">
        <f t="shared" si="39"/>
        <v>7814000</v>
      </c>
      <c r="S148" s="112" t="e">
        <f t="shared" si="35"/>
        <v>#DIV/0!</v>
      </c>
      <c r="T148" s="85">
        <f t="shared" si="36"/>
        <v>7814000</v>
      </c>
    </row>
    <row r="149" spans="2:20" ht="15" customHeight="1">
      <c r="B149" s="13" t="s">
        <v>24</v>
      </c>
      <c r="C149" s="6">
        <v>1330000</v>
      </c>
      <c r="D149" s="6"/>
      <c r="E149" s="16">
        <f>D149/C149</f>
        <v>0</v>
      </c>
      <c r="F149" s="7"/>
      <c r="G149" s="16">
        <f t="shared" si="37"/>
        <v>0</v>
      </c>
      <c r="H149" s="7"/>
      <c r="I149" s="6">
        <v>1765000</v>
      </c>
      <c r="J149" s="6"/>
      <c r="K149" s="16">
        <f t="shared" si="34"/>
        <v>0</v>
      </c>
      <c r="L149" s="6"/>
      <c r="M149" s="7">
        <f>2070000-30000</f>
        <v>2040000</v>
      </c>
      <c r="N149" s="6"/>
      <c r="O149" s="16">
        <f t="shared" si="38"/>
        <v>0</v>
      </c>
      <c r="P149" s="6"/>
      <c r="Q149" s="6"/>
      <c r="R149" s="11">
        <f t="shared" si="39"/>
        <v>2040000</v>
      </c>
      <c r="S149" s="112" t="e">
        <f t="shared" si="35"/>
        <v>#DIV/0!</v>
      </c>
      <c r="T149" s="85">
        <f t="shared" si="36"/>
        <v>2040000</v>
      </c>
    </row>
    <row r="150" spans="2:20" ht="15.75" hidden="1">
      <c r="B150" s="105" t="s">
        <v>153</v>
      </c>
      <c r="C150" s="21"/>
      <c r="D150" s="21"/>
      <c r="E150" s="26"/>
      <c r="F150" s="21"/>
      <c r="G150" s="26"/>
      <c r="H150" s="21"/>
      <c r="I150" s="21"/>
      <c r="J150" s="21"/>
      <c r="K150" s="26"/>
      <c r="L150" s="21"/>
      <c r="M150" s="121"/>
      <c r="N150" s="121"/>
      <c r="O150" s="26" t="e">
        <f t="shared" si="38"/>
        <v>#DIV/0!</v>
      </c>
      <c r="P150" s="21"/>
      <c r="Q150" s="21"/>
      <c r="R150" s="117">
        <f t="shared" si="39"/>
        <v>0</v>
      </c>
      <c r="S150" s="113"/>
      <c r="T150" s="84">
        <f t="shared" si="36"/>
        <v>0</v>
      </c>
    </row>
    <row r="151" spans="2:20" ht="15.75">
      <c r="B151" s="25" t="s">
        <v>23</v>
      </c>
      <c r="C151" s="21">
        <f>C152+C153+C154</f>
        <v>1240000</v>
      </c>
      <c r="D151" s="21">
        <v>1156909</v>
      </c>
      <c r="E151" s="26">
        <f>D151/C151</f>
        <v>0.9329911290322581</v>
      </c>
      <c r="F151" s="21">
        <f>F152+F153+F154</f>
        <v>0</v>
      </c>
      <c r="G151" s="26">
        <f>D151/C151</f>
        <v>0.9329911290322581</v>
      </c>
      <c r="H151" s="21"/>
      <c r="I151" s="21">
        <f>I152+I153</f>
        <v>1619000</v>
      </c>
      <c r="J151" s="21">
        <v>1130271</v>
      </c>
      <c r="K151" s="26">
        <f>J151/I151</f>
        <v>0.6981290920321186</v>
      </c>
      <c r="L151" s="21">
        <f>L152+L153</f>
        <v>0</v>
      </c>
      <c r="M151" s="21">
        <f>M152+M153</f>
        <v>1300000</v>
      </c>
      <c r="N151" s="21">
        <v>311499</v>
      </c>
      <c r="O151" s="26">
        <f t="shared" si="38"/>
        <v>0.2396146153846154</v>
      </c>
      <c r="P151" s="21">
        <f>P152+P153</f>
        <v>0</v>
      </c>
      <c r="Q151" s="21"/>
      <c r="R151" s="117">
        <f t="shared" si="39"/>
        <v>1300000</v>
      </c>
      <c r="S151" s="113">
        <f>R151/N151</f>
        <v>4.173368132802994</v>
      </c>
      <c r="T151" s="84">
        <f t="shared" si="36"/>
        <v>988501</v>
      </c>
    </row>
    <row r="152" spans="2:20" ht="15.75">
      <c r="B152" s="13" t="s">
        <v>26</v>
      </c>
      <c r="C152" s="6">
        <v>800000</v>
      </c>
      <c r="D152" s="6"/>
      <c r="E152" s="16">
        <f>D152/C152</f>
        <v>0</v>
      </c>
      <c r="F152" s="7"/>
      <c r="G152" s="16">
        <f>D152/C152</f>
        <v>0</v>
      </c>
      <c r="H152" s="7"/>
      <c r="I152" s="6">
        <f>850000+30000</f>
        <v>880000</v>
      </c>
      <c r="J152" s="6"/>
      <c r="K152" s="16">
        <f>J152/I152</f>
        <v>0</v>
      </c>
      <c r="L152" s="6"/>
      <c r="M152" s="7">
        <v>700000</v>
      </c>
      <c r="N152" s="6"/>
      <c r="O152" s="16">
        <f t="shared" si="38"/>
        <v>0</v>
      </c>
      <c r="P152" s="6"/>
      <c r="Q152" s="6"/>
      <c r="R152" s="11">
        <f t="shared" si="39"/>
        <v>700000</v>
      </c>
      <c r="S152" s="112" t="e">
        <f>R152/N152</f>
        <v>#DIV/0!</v>
      </c>
      <c r="T152" s="85">
        <f t="shared" si="36"/>
        <v>700000</v>
      </c>
    </row>
    <row r="153" spans="2:20" ht="15.75">
      <c r="B153" s="13" t="s">
        <v>27</v>
      </c>
      <c r="C153" s="6">
        <v>440000</v>
      </c>
      <c r="D153" s="6"/>
      <c r="E153" s="16">
        <f>D153/C153</f>
        <v>0</v>
      </c>
      <c r="F153" s="7"/>
      <c r="G153" s="16">
        <f>D153/C153</f>
        <v>0</v>
      </c>
      <c r="H153" s="7"/>
      <c r="I153" s="6">
        <v>739000</v>
      </c>
      <c r="J153" s="6"/>
      <c r="K153" s="16">
        <f>J153/I153</f>
        <v>0</v>
      </c>
      <c r="L153" s="6"/>
      <c r="M153" s="7">
        <v>600000</v>
      </c>
      <c r="N153" s="6"/>
      <c r="O153" s="16">
        <f t="shared" si="38"/>
        <v>0</v>
      </c>
      <c r="P153" s="6"/>
      <c r="Q153" s="6"/>
      <c r="R153" s="11">
        <f t="shared" si="39"/>
        <v>600000</v>
      </c>
      <c r="S153" s="112" t="e">
        <f>R153/N153</f>
        <v>#DIV/0!</v>
      </c>
      <c r="T153" s="85">
        <f t="shared" si="36"/>
        <v>600000</v>
      </c>
    </row>
    <row r="154" spans="2:20" ht="0.75" customHeight="1">
      <c r="B154" s="27" t="s">
        <v>84</v>
      </c>
      <c r="C154" s="6">
        <v>0</v>
      </c>
      <c r="D154" s="6"/>
      <c r="E154" s="16"/>
      <c r="F154" s="7"/>
      <c r="G154" s="18" t="e">
        <f>D154/C154</f>
        <v>#DIV/0!</v>
      </c>
      <c r="H154" s="7"/>
      <c r="I154" s="6">
        <f>C154+F154</f>
        <v>0</v>
      </c>
      <c r="J154" s="6"/>
      <c r="K154" s="18" t="e">
        <f>J154/I154</f>
        <v>#DIV/0!</v>
      </c>
      <c r="L154" s="6"/>
      <c r="M154" s="15">
        <f>I154+L154</f>
        <v>0</v>
      </c>
      <c r="N154" s="15"/>
      <c r="O154" s="18" t="e">
        <f t="shared" si="38"/>
        <v>#DIV/0!</v>
      </c>
      <c r="P154" s="15"/>
      <c r="Q154" s="15"/>
      <c r="R154" s="11">
        <f t="shared" si="39"/>
        <v>0</v>
      </c>
      <c r="S154" s="111" t="e">
        <f>R154/N154</f>
        <v>#DIV/0!</v>
      </c>
      <c r="T154" s="83">
        <f t="shared" si="36"/>
        <v>0</v>
      </c>
    </row>
    <row r="155" spans="2:20" ht="15" customHeight="1">
      <c r="B155" s="25" t="s">
        <v>159</v>
      </c>
      <c r="C155" s="21">
        <f>C156+C157</f>
        <v>1100700</v>
      </c>
      <c r="D155" s="21">
        <f>D156+D157</f>
        <v>959497</v>
      </c>
      <c r="E155" s="26">
        <f>D155/C155</f>
        <v>0.871715272099573</v>
      </c>
      <c r="F155" s="21">
        <f>F156+F157</f>
        <v>0</v>
      </c>
      <c r="G155" s="26">
        <f>D155/C155</f>
        <v>0.871715272099573</v>
      </c>
      <c r="H155" s="21"/>
      <c r="I155" s="21">
        <f>I157</f>
        <v>1479300</v>
      </c>
      <c r="J155" s="21">
        <f>J157+J156</f>
        <v>1094315</v>
      </c>
      <c r="K155" s="26">
        <f>J155/I155</f>
        <v>0.7397519096870141</v>
      </c>
      <c r="L155" s="21">
        <f>L156</f>
        <v>0</v>
      </c>
      <c r="M155" s="21">
        <f>M156</f>
        <v>1370500</v>
      </c>
      <c r="N155" s="21"/>
      <c r="O155" s="26">
        <f t="shared" si="38"/>
        <v>0</v>
      </c>
      <c r="P155" s="21">
        <f>P156</f>
        <v>0</v>
      </c>
      <c r="Q155" s="21"/>
      <c r="R155" s="117">
        <f t="shared" si="39"/>
        <v>1370500</v>
      </c>
      <c r="S155" s="113"/>
      <c r="T155" s="84">
        <f t="shared" si="36"/>
        <v>1370500</v>
      </c>
    </row>
    <row r="156" spans="2:20" ht="15.75">
      <c r="B156" s="19" t="s">
        <v>49</v>
      </c>
      <c r="C156" s="6"/>
      <c r="D156" s="6"/>
      <c r="E156" s="16"/>
      <c r="F156" s="6"/>
      <c r="G156" s="16"/>
      <c r="H156" s="6"/>
      <c r="I156" s="6"/>
      <c r="J156" s="6"/>
      <c r="K156" s="16"/>
      <c r="L156" s="6"/>
      <c r="M156" s="6">
        <v>1370500</v>
      </c>
      <c r="N156" s="6">
        <v>0</v>
      </c>
      <c r="O156" s="16">
        <f t="shared" si="38"/>
        <v>0</v>
      </c>
      <c r="P156" s="6"/>
      <c r="Q156" s="6"/>
      <c r="R156" s="11">
        <f t="shared" si="39"/>
        <v>1370500</v>
      </c>
      <c r="S156" s="112"/>
      <c r="T156" s="85">
        <f t="shared" si="36"/>
        <v>1370500</v>
      </c>
    </row>
    <row r="157" spans="2:20" s="55" customFormat="1" ht="15.75">
      <c r="B157" s="25" t="s">
        <v>71</v>
      </c>
      <c r="C157" s="21">
        <f>C158</f>
        <v>1100700</v>
      </c>
      <c r="D157" s="21">
        <f>D158</f>
        <v>959497</v>
      </c>
      <c r="E157" s="26">
        <f aca="true" t="shared" si="40" ref="E157:E162">D157/C157</f>
        <v>0.871715272099573</v>
      </c>
      <c r="F157" s="21">
        <f>F158</f>
        <v>0</v>
      </c>
      <c r="G157" s="26">
        <f aca="true" t="shared" si="41" ref="G157:G184">D157/C157</f>
        <v>0.871715272099573</v>
      </c>
      <c r="H157" s="21"/>
      <c r="I157" s="21">
        <f>I158</f>
        <v>1479300</v>
      </c>
      <c r="J157" s="21">
        <f>J158</f>
        <v>1094315</v>
      </c>
      <c r="K157" s="26">
        <f aca="true" t="shared" si="42" ref="K157:K170">J157/I157</f>
        <v>0.7397519096870141</v>
      </c>
      <c r="L157" s="21">
        <f>L158</f>
        <v>0</v>
      </c>
      <c r="M157" s="21">
        <f>M158+M160</f>
        <v>1510000</v>
      </c>
      <c r="N157" s="21">
        <v>309958</v>
      </c>
      <c r="O157" s="26">
        <f t="shared" si="38"/>
        <v>0.2052701986754967</v>
      </c>
      <c r="P157" s="21">
        <f>P158+P160</f>
        <v>0</v>
      </c>
      <c r="Q157" s="21"/>
      <c r="R157" s="117">
        <f>M157+P157</f>
        <v>1510000</v>
      </c>
      <c r="S157" s="113">
        <f aca="true" t="shared" si="43" ref="S157:S184">R157/N157</f>
        <v>4.871627768923531</v>
      </c>
      <c r="T157" s="84">
        <f t="shared" si="36"/>
        <v>1200042</v>
      </c>
    </row>
    <row r="158" spans="2:20" ht="15.75">
      <c r="B158" s="19" t="s">
        <v>75</v>
      </c>
      <c r="C158" s="6">
        <v>1100700</v>
      </c>
      <c r="D158" s="6">
        <v>959497</v>
      </c>
      <c r="E158" s="16">
        <f t="shared" si="40"/>
        <v>0.871715272099573</v>
      </c>
      <c r="F158" s="6"/>
      <c r="G158" s="16">
        <f t="shared" si="41"/>
        <v>0.871715272099573</v>
      </c>
      <c r="H158" s="6"/>
      <c r="I158" s="6">
        <v>1479300</v>
      </c>
      <c r="J158" s="6">
        <v>1094315</v>
      </c>
      <c r="K158" s="16">
        <f t="shared" si="42"/>
        <v>0.7397519096870141</v>
      </c>
      <c r="L158" s="6"/>
      <c r="M158" s="6">
        <v>1300000</v>
      </c>
      <c r="N158" s="6"/>
      <c r="O158" s="16">
        <f t="shared" si="38"/>
        <v>0</v>
      </c>
      <c r="P158" s="6"/>
      <c r="Q158" s="6"/>
      <c r="R158" s="11">
        <f t="shared" si="39"/>
        <v>1300000</v>
      </c>
      <c r="S158" s="112" t="e">
        <f t="shared" si="43"/>
        <v>#DIV/0!</v>
      </c>
      <c r="T158" s="85">
        <f t="shared" si="36"/>
        <v>1300000</v>
      </c>
    </row>
    <row r="159" spans="2:20" ht="15.75" hidden="1">
      <c r="B159" s="19" t="s">
        <v>67</v>
      </c>
      <c r="C159" s="6" t="e">
        <f>#REF!+B159</f>
        <v>#REF!</v>
      </c>
      <c r="D159" s="6"/>
      <c r="E159" s="18" t="e">
        <f t="shared" si="40"/>
        <v>#REF!</v>
      </c>
      <c r="F159" s="7"/>
      <c r="G159" s="18" t="e">
        <f t="shared" si="41"/>
        <v>#REF!</v>
      </c>
      <c r="H159" s="7"/>
      <c r="I159" s="6" t="e">
        <f>C159+F159</f>
        <v>#REF!</v>
      </c>
      <c r="J159" s="6"/>
      <c r="K159" s="18" t="e">
        <f t="shared" si="42"/>
        <v>#REF!</v>
      </c>
      <c r="L159" s="6"/>
      <c r="M159" s="15" t="e">
        <f>I159+L159</f>
        <v>#REF!</v>
      </c>
      <c r="N159" s="15"/>
      <c r="O159" s="18" t="e">
        <f t="shared" si="38"/>
        <v>#REF!</v>
      </c>
      <c r="P159" s="15"/>
      <c r="Q159" s="15"/>
      <c r="R159" s="11" t="e">
        <f t="shared" si="39"/>
        <v>#REF!</v>
      </c>
      <c r="S159" s="111" t="e">
        <f t="shared" si="43"/>
        <v>#REF!</v>
      </c>
      <c r="T159" s="83" t="e">
        <f t="shared" si="36"/>
        <v>#REF!</v>
      </c>
    </row>
    <row r="160" spans="2:20" ht="15.75">
      <c r="B160" s="19" t="s">
        <v>153</v>
      </c>
      <c r="C160" s="6" t="e">
        <f>#REF!+B160</f>
        <v>#REF!</v>
      </c>
      <c r="D160" s="6"/>
      <c r="E160" s="18" t="e">
        <f t="shared" si="40"/>
        <v>#REF!</v>
      </c>
      <c r="F160" s="7"/>
      <c r="G160" s="18" t="e">
        <f t="shared" si="41"/>
        <v>#REF!</v>
      </c>
      <c r="H160" s="7"/>
      <c r="I160" s="6" t="e">
        <f>C160+F160</f>
        <v>#REF!</v>
      </c>
      <c r="J160" s="6"/>
      <c r="K160" s="18" t="e">
        <f t="shared" si="42"/>
        <v>#REF!</v>
      </c>
      <c r="L160" s="6"/>
      <c r="M160" s="6">
        <v>210000</v>
      </c>
      <c r="N160" s="6"/>
      <c r="O160" s="16">
        <f t="shared" si="38"/>
        <v>0</v>
      </c>
      <c r="P160" s="6"/>
      <c r="Q160" s="15"/>
      <c r="R160" s="11">
        <f t="shared" si="39"/>
        <v>210000</v>
      </c>
      <c r="S160" s="111" t="e">
        <f t="shared" si="43"/>
        <v>#DIV/0!</v>
      </c>
      <c r="T160" s="83">
        <f t="shared" si="36"/>
        <v>210000</v>
      </c>
    </row>
    <row r="161" spans="2:20" ht="15.75">
      <c r="B161" s="25" t="s">
        <v>25</v>
      </c>
      <c r="C161" s="21">
        <f>C162+C164+C165+C168+C169+C163</f>
        <v>10915000</v>
      </c>
      <c r="D161" s="21">
        <f>D162+D164+D165+D168+D169</f>
        <v>10814320</v>
      </c>
      <c r="E161" s="26">
        <f t="shared" si="40"/>
        <v>0.9907759963353183</v>
      </c>
      <c r="F161" s="21">
        <f>F162+F163+F164+F165+F168+F169+F171</f>
        <v>0</v>
      </c>
      <c r="G161" s="26">
        <f t="shared" si="41"/>
        <v>0.9907759963353183</v>
      </c>
      <c r="H161" s="21">
        <f>H162+H163+H165+H168+H169</f>
        <v>0</v>
      </c>
      <c r="I161" s="21">
        <f>I162+I163+I164+I165+I168+I169</f>
        <v>13860000</v>
      </c>
      <c r="J161" s="21">
        <f>J162+J163+J164+J165+J168+J169</f>
        <v>12555662</v>
      </c>
      <c r="K161" s="26">
        <f t="shared" si="42"/>
        <v>0.9058919191919191</v>
      </c>
      <c r="L161" s="21">
        <f>L162+L163+L165+L168+L169</f>
        <v>0</v>
      </c>
      <c r="M161" s="21">
        <f>M162+M163+M165+M168+M169</f>
        <v>17352583</v>
      </c>
      <c r="N161" s="21">
        <f>N168+N162+N163+N169+N165</f>
        <v>6612935</v>
      </c>
      <c r="O161" s="26">
        <f t="shared" si="38"/>
        <v>0.3810922558330365</v>
      </c>
      <c r="P161" s="21">
        <f>P162+P163+P165+P168+P169</f>
        <v>24000</v>
      </c>
      <c r="Q161" s="21"/>
      <c r="R161" s="117">
        <f t="shared" si="39"/>
        <v>17376583</v>
      </c>
      <c r="S161" s="113">
        <f t="shared" si="43"/>
        <v>2.6276657792644267</v>
      </c>
      <c r="T161" s="84">
        <f t="shared" si="36"/>
        <v>10763648</v>
      </c>
    </row>
    <row r="162" spans="2:20" ht="15.75">
      <c r="B162" s="28" t="s">
        <v>31</v>
      </c>
      <c r="C162" s="6">
        <v>45000</v>
      </c>
      <c r="D162" s="6"/>
      <c r="E162" s="16">
        <f t="shared" si="40"/>
        <v>0</v>
      </c>
      <c r="F162" s="6"/>
      <c r="G162" s="16">
        <f t="shared" si="41"/>
        <v>0</v>
      </c>
      <c r="H162" s="7"/>
      <c r="I162" s="6">
        <f>28000+4000</f>
        <v>32000</v>
      </c>
      <c r="J162" s="6"/>
      <c r="K162" s="16">
        <f t="shared" si="42"/>
        <v>0</v>
      </c>
      <c r="L162" s="6"/>
      <c r="M162" s="7">
        <f>10200+5000</f>
        <v>15200</v>
      </c>
      <c r="N162" s="6"/>
      <c r="O162" s="16">
        <f t="shared" si="38"/>
        <v>0</v>
      </c>
      <c r="P162" s="6"/>
      <c r="Q162" s="6"/>
      <c r="R162" s="11">
        <f t="shared" si="39"/>
        <v>15200</v>
      </c>
      <c r="S162" s="112" t="e">
        <f t="shared" si="43"/>
        <v>#DIV/0!</v>
      </c>
      <c r="T162" s="85">
        <f t="shared" si="36"/>
        <v>15200</v>
      </c>
    </row>
    <row r="163" spans="2:20" ht="15.75">
      <c r="B163" s="28" t="s">
        <v>129</v>
      </c>
      <c r="C163" s="6">
        <v>30000</v>
      </c>
      <c r="D163" s="6"/>
      <c r="E163" s="16"/>
      <c r="F163" s="7"/>
      <c r="G163" s="16">
        <f t="shared" si="41"/>
        <v>0</v>
      </c>
      <c r="H163" s="7"/>
      <c r="I163" s="6">
        <v>30000</v>
      </c>
      <c r="J163" s="6"/>
      <c r="K163" s="16">
        <f t="shared" si="42"/>
        <v>0</v>
      </c>
      <c r="L163" s="6"/>
      <c r="M163" s="7">
        <v>30000</v>
      </c>
      <c r="N163" s="6"/>
      <c r="O163" s="16">
        <f t="shared" si="38"/>
        <v>0</v>
      </c>
      <c r="P163" s="6"/>
      <c r="Q163" s="6"/>
      <c r="R163" s="11">
        <f t="shared" si="39"/>
        <v>30000</v>
      </c>
      <c r="S163" s="112" t="e">
        <f t="shared" si="43"/>
        <v>#DIV/0!</v>
      </c>
      <c r="T163" s="85">
        <f t="shared" si="36"/>
        <v>30000</v>
      </c>
    </row>
    <row r="164" spans="2:20" ht="0.75" customHeight="1">
      <c r="B164" s="28" t="s">
        <v>81</v>
      </c>
      <c r="C164" s="6"/>
      <c r="D164" s="6"/>
      <c r="E164" s="16" t="e">
        <f aca="true" t="shared" si="44" ref="E164:E170">D164/C164</f>
        <v>#DIV/0!</v>
      </c>
      <c r="F164" s="7"/>
      <c r="G164" s="16" t="e">
        <f t="shared" si="41"/>
        <v>#DIV/0!</v>
      </c>
      <c r="H164" s="7"/>
      <c r="I164" s="6"/>
      <c r="J164" s="6"/>
      <c r="K164" s="16" t="e">
        <f t="shared" si="42"/>
        <v>#DIV/0!</v>
      </c>
      <c r="L164" s="6"/>
      <c r="M164" s="7"/>
      <c r="N164" s="6"/>
      <c r="O164" s="16" t="e">
        <f t="shared" si="38"/>
        <v>#DIV/0!</v>
      </c>
      <c r="P164" s="6"/>
      <c r="Q164" s="6"/>
      <c r="R164" s="11">
        <f t="shared" si="39"/>
        <v>0</v>
      </c>
      <c r="S164" s="112" t="e">
        <f t="shared" si="43"/>
        <v>#DIV/0!</v>
      </c>
      <c r="T164" s="85">
        <f t="shared" si="36"/>
        <v>0</v>
      </c>
    </row>
    <row r="165" spans="2:20" ht="15" customHeight="1">
      <c r="B165" s="28" t="s">
        <v>32</v>
      </c>
      <c r="C165" s="6">
        <v>20000</v>
      </c>
      <c r="D165" s="6"/>
      <c r="E165" s="16">
        <f t="shared" si="44"/>
        <v>0</v>
      </c>
      <c r="F165" s="7"/>
      <c r="G165" s="16">
        <f t="shared" si="41"/>
        <v>0</v>
      </c>
      <c r="H165" s="7"/>
      <c r="I165" s="6">
        <v>10000</v>
      </c>
      <c r="J165" s="6"/>
      <c r="K165" s="16">
        <f t="shared" si="42"/>
        <v>0</v>
      </c>
      <c r="L165" s="6"/>
      <c r="M165" s="7">
        <v>10000</v>
      </c>
      <c r="N165" s="6"/>
      <c r="O165" s="16">
        <f t="shared" si="38"/>
        <v>0</v>
      </c>
      <c r="P165" s="6"/>
      <c r="Q165" s="6"/>
      <c r="R165" s="11">
        <f t="shared" si="39"/>
        <v>10000</v>
      </c>
      <c r="S165" s="112" t="e">
        <f t="shared" si="43"/>
        <v>#DIV/0!</v>
      </c>
      <c r="T165" s="85">
        <f t="shared" si="36"/>
        <v>10000</v>
      </c>
    </row>
    <row r="166" spans="2:20" ht="15.75" hidden="1">
      <c r="B166" s="28" t="s">
        <v>33</v>
      </c>
      <c r="C166" s="6"/>
      <c r="D166" s="6"/>
      <c r="E166" s="18" t="e">
        <f t="shared" si="44"/>
        <v>#DIV/0!</v>
      </c>
      <c r="F166" s="7"/>
      <c r="G166" s="16" t="e">
        <f t="shared" si="41"/>
        <v>#DIV/0!</v>
      </c>
      <c r="H166" s="7"/>
      <c r="I166" s="6"/>
      <c r="J166" s="6"/>
      <c r="K166" s="16" t="e">
        <f t="shared" si="42"/>
        <v>#DIV/0!</v>
      </c>
      <c r="L166" s="6"/>
      <c r="M166" s="7"/>
      <c r="N166" s="6"/>
      <c r="O166" s="16" t="e">
        <f t="shared" si="38"/>
        <v>#DIV/0!</v>
      </c>
      <c r="P166" s="6"/>
      <c r="Q166" s="6"/>
      <c r="R166" s="11">
        <f t="shared" si="39"/>
        <v>0</v>
      </c>
      <c r="S166" s="112" t="e">
        <f t="shared" si="43"/>
        <v>#DIV/0!</v>
      </c>
      <c r="T166" s="85">
        <f t="shared" si="36"/>
        <v>0</v>
      </c>
    </row>
    <row r="167" spans="2:20" ht="15.75" hidden="1">
      <c r="B167" s="28" t="s">
        <v>37</v>
      </c>
      <c r="C167" s="6" t="e">
        <v>#REF!</v>
      </c>
      <c r="D167" s="6"/>
      <c r="E167" s="18" t="e">
        <f t="shared" si="44"/>
        <v>#REF!</v>
      </c>
      <c r="F167" s="7"/>
      <c r="G167" s="16" t="e">
        <f t="shared" si="41"/>
        <v>#REF!</v>
      </c>
      <c r="H167" s="7"/>
      <c r="I167" s="6"/>
      <c r="J167" s="6"/>
      <c r="K167" s="16" t="e">
        <f t="shared" si="42"/>
        <v>#DIV/0!</v>
      </c>
      <c r="L167" s="6"/>
      <c r="M167" s="7"/>
      <c r="N167" s="6"/>
      <c r="O167" s="16" t="e">
        <f t="shared" si="38"/>
        <v>#DIV/0!</v>
      </c>
      <c r="P167" s="6"/>
      <c r="Q167" s="6"/>
      <c r="R167" s="11">
        <f t="shared" si="39"/>
        <v>0</v>
      </c>
      <c r="S167" s="112" t="e">
        <f t="shared" si="43"/>
        <v>#DIV/0!</v>
      </c>
      <c r="T167" s="85">
        <f t="shared" si="36"/>
        <v>0</v>
      </c>
    </row>
    <row r="168" spans="2:20" ht="29.25">
      <c r="B168" s="29" t="s">
        <v>85</v>
      </c>
      <c r="C168" s="6">
        <v>10780000</v>
      </c>
      <c r="D168" s="6">
        <v>10814320</v>
      </c>
      <c r="E168" s="16">
        <f t="shared" si="44"/>
        <v>1.0031836734693877</v>
      </c>
      <c r="F168" s="6"/>
      <c r="G168" s="16">
        <f t="shared" si="41"/>
        <v>1.0031836734693877</v>
      </c>
      <c r="H168" s="6"/>
      <c r="I168" s="6">
        <v>13765000</v>
      </c>
      <c r="J168" s="6">
        <v>12555662</v>
      </c>
      <c r="K168" s="16">
        <f t="shared" si="42"/>
        <v>0.9121439883763167</v>
      </c>
      <c r="L168" s="6"/>
      <c r="M168" s="7">
        <f>16756000-173200+677583</f>
        <v>17260383</v>
      </c>
      <c r="N168" s="6">
        <v>6612935</v>
      </c>
      <c r="O168" s="16">
        <f t="shared" si="38"/>
        <v>0.383127941019617</v>
      </c>
      <c r="P168" s="6"/>
      <c r="Q168" s="6"/>
      <c r="R168" s="11">
        <f t="shared" si="39"/>
        <v>17260383</v>
      </c>
      <c r="S168" s="112">
        <f t="shared" si="43"/>
        <v>2.6100941563768583</v>
      </c>
      <c r="T168" s="85">
        <f t="shared" si="36"/>
        <v>10647448</v>
      </c>
    </row>
    <row r="169" spans="2:20" ht="13.5" customHeight="1">
      <c r="B169" s="28" t="s">
        <v>50</v>
      </c>
      <c r="C169" s="6">
        <v>40000</v>
      </c>
      <c r="D169" s="6"/>
      <c r="E169" s="16">
        <f t="shared" si="44"/>
        <v>0</v>
      </c>
      <c r="F169" s="7"/>
      <c r="G169" s="16">
        <f t="shared" si="41"/>
        <v>0</v>
      </c>
      <c r="H169" s="7"/>
      <c r="I169" s="6">
        <f>23000</f>
        <v>23000</v>
      </c>
      <c r="J169" s="6"/>
      <c r="K169" s="16">
        <f t="shared" si="42"/>
        <v>0</v>
      </c>
      <c r="L169" s="6"/>
      <c r="M169" s="7">
        <v>37000</v>
      </c>
      <c r="N169" s="6"/>
      <c r="O169" s="16">
        <f t="shared" si="38"/>
        <v>0</v>
      </c>
      <c r="P169" s="6">
        <v>24000</v>
      </c>
      <c r="Q169" s="6"/>
      <c r="R169" s="11">
        <f t="shared" si="39"/>
        <v>61000</v>
      </c>
      <c r="S169" s="112" t="e">
        <f t="shared" si="43"/>
        <v>#DIV/0!</v>
      </c>
      <c r="T169" s="85">
        <f t="shared" si="36"/>
        <v>61000</v>
      </c>
    </row>
    <row r="170" spans="2:20" ht="15.75" hidden="1">
      <c r="B170" s="22" t="s">
        <v>4</v>
      </c>
      <c r="C170" s="21" t="e">
        <v>#REF!</v>
      </c>
      <c r="D170" s="21"/>
      <c r="E170" s="16" t="e">
        <f t="shared" si="44"/>
        <v>#REF!</v>
      </c>
      <c r="F170" s="7"/>
      <c r="G170" s="16" t="e">
        <f t="shared" si="41"/>
        <v>#REF!</v>
      </c>
      <c r="H170" s="7"/>
      <c r="I170" s="6" t="e">
        <f>C170+H170</f>
        <v>#REF!</v>
      </c>
      <c r="J170" s="6"/>
      <c r="K170" s="18" t="e">
        <f t="shared" si="42"/>
        <v>#REF!</v>
      </c>
      <c r="L170" s="6"/>
      <c r="M170" s="15" t="e">
        <f>I170+L170</f>
        <v>#REF!</v>
      </c>
      <c r="N170" s="15"/>
      <c r="O170" s="18" t="e">
        <f t="shared" si="38"/>
        <v>#REF!</v>
      </c>
      <c r="P170" s="15"/>
      <c r="Q170" s="15"/>
      <c r="R170" s="11" t="e">
        <f t="shared" si="39"/>
        <v>#REF!</v>
      </c>
      <c r="S170" s="111" t="e">
        <f t="shared" si="43"/>
        <v>#REF!</v>
      </c>
      <c r="T170" s="83" t="e">
        <f t="shared" si="36"/>
        <v>#REF!</v>
      </c>
    </row>
    <row r="171" spans="2:20" ht="15.75" hidden="1">
      <c r="B171" s="22" t="s">
        <v>34</v>
      </c>
      <c r="C171" s="21">
        <v>0</v>
      </c>
      <c r="D171" s="21"/>
      <c r="E171" s="26"/>
      <c r="F171" s="21"/>
      <c r="G171" s="26" t="e">
        <f t="shared" si="41"/>
        <v>#DIV/0!</v>
      </c>
      <c r="H171" s="21"/>
      <c r="I171" s="21">
        <f>C171+H171</f>
        <v>0</v>
      </c>
      <c r="J171" s="21">
        <v>-19908</v>
      </c>
      <c r="K171" s="26"/>
      <c r="L171" s="21"/>
      <c r="M171" s="21">
        <f>I171+L171</f>
        <v>0</v>
      </c>
      <c r="N171" s="21"/>
      <c r="O171" s="18" t="e">
        <f t="shared" si="38"/>
        <v>#DIV/0!</v>
      </c>
      <c r="P171" s="21"/>
      <c r="Q171" s="21"/>
      <c r="R171" s="11">
        <f t="shared" si="39"/>
        <v>0</v>
      </c>
      <c r="S171" s="111" t="e">
        <f t="shared" si="43"/>
        <v>#DIV/0!</v>
      </c>
      <c r="T171" s="83">
        <f t="shared" si="36"/>
        <v>0</v>
      </c>
    </row>
    <row r="172" spans="2:20" ht="15.75">
      <c r="B172" s="22" t="s">
        <v>34</v>
      </c>
      <c r="C172" s="21" t="e">
        <f>#REF!+B172</f>
        <v>#REF!</v>
      </c>
      <c r="D172" s="21"/>
      <c r="E172" s="26" t="e">
        <f>D172/C172</f>
        <v>#REF!</v>
      </c>
      <c r="F172" s="21"/>
      <c r="G172" s="26" t="e">
        <f t="shared" si="41"/>
        <v>#REF!</v>
      </c>
      <c r="H172" s="21"/>
      <c r="I172" s="21" t="e">
        <f>C172+F172</f>
        <v>#REF!</v>
      </c>
      <c r="J172" s="21"/>
      <c r="K172" s="26" t="e">
        <f aca="true" t="shared" si="45" ref="K172:K184">J172/I172</f>
        <v>#REF!</v>
      </c>
      <c r="L172" s="21"/>
      <c r="M172" s="21"/>
      <c r="N172" s="21">
        <v>-19567</v>
      </c>
      <c r="O172" s="26"/>
      <c r="P172" s="21"/>
      <c r="Q172" s="21"/>
      <c r="R172" s="117">
        <f t="shared" si="39"/>
        <v>0</v>
      </c>
      <c r="S172" s="113">
        <f t="shared" si="43"/>
        <v>0</v>
      </c>
      <c r="T172" s="84">
        <f t="shared" si="36"/>
        <v>19567</v>
      </c>
    </row>
    <row r="173" spans="2:20" ht="31.5">
      <c r="B173" s="17" t="s">
        <v>48</v>
      </c>
      <c r="C173" s="15">
        <f>C175+C178+C181+C188+C190</f>
        <v>14374800</v>
      </c>
      <c r="D173" s="15">
        <f>D175+D178+D181+D188+D190</f>
        <v>10414031</v>
      </c>
      <c r="E173" s="18">
        <f>D173/C173</f>
        <v>0.7244644099396166</v>
      </c>
      <c r="F173" s="15">
        <f>F175+F178+F181+F188</f>
        <v>0</v>
      </c>
      <c r="G173" s="18">
        <f t="shared" si="41"/>
        <v>0.7244644099396166</v>
      </c>
      <c r="H173" s="15">
        <f>H175+H188</f>
        <v>0</v>
      </c>
      <c r="I173" s="15">
        <f>I175+I178+I181+I188+I190</f>
        <v>15044000</v>
      </c>
      <c r="J173" s="15">
        <f>J175+J178+J181+J188+J190</f>
        <v>10176642</v>
      </c>
      <c r="K173" s="18">
        <f t="shared" si="45"/>
        <v>0.6764585216697687</v>
      </c>
      <c r="L173" s="15">
        <f>L175+L188</f>
        <v>0</v>
      </c>
      <c r="M173" s="15">
        <f>M175+M186+M187+M188</f>
        <v>11767784</v>
      </c>
      <c r="N173" s="15">
        <f>N175+N186+N187+N188</f>
        <v>4134139</v>
      </c>
      <c r="O173" s="18">
        <f t="shared" si="38"/>
        <v>0.35130989827821446</v>
      </c>
      <c r="P173" s="15">
        <f>P175+P186+P187+P188</f>
        <v>0</v>
      </c>
      <c r="Q173" s="15"/>
      <c r="R173" s="116">
        <f t="shared" si="39"/>
        <v>11767784</v>
      </c>
      <c r="S173" s="111">
        <f t="shared" si="43"/>
        <v>2.8464896801970134</v>
      </c>
      <c r="T173" s="83">
        <f t="shared" si="36"/>
        <v>7633645</v>
      </c>
    </row>
    <row r="174" spans="2:20" ht="0.75" customHeight="1">
      <c r="B174" s="22" t="s">
        <v>2</v>
      </c>
      <c r="C174" s="21" t="e">
        <f>#REF!+B174</f>
        <v>#REF!</v>
      </c>
      <c r="D174" s="21"/>
      <c r="E174" s="18" t="e">
        <f>D174/C174</f>
        <v>#REF!</v>
      </c>
      <c r="F174" s="7"/>
      <c r="G174" s="18" t="e">
        <f t="shared" si="41"/>
        <v>#REF!</v>
      </c>
      <c r="H174" s="7"/>
      <c r="I174" s="6" t="e">
        <f>C174+F174</f>
        <v>#REF!</v>
      </c>
      <c r="J174" s="6"/>
      <c r="K174" s="18" t="e">
        <f t="shared" si="45"/>
        <v>#REF!</v>
      </c>
      <c r="L174" s="6"/>
      <c r="M174" s="15" t="e">
        <f aca="true" t="shared" si="46" ref="M174:M184">I174+L174</f>
        <v>#REF!</v>
      </c>
      <c r="N174" s="15"/>
      <c r="O174" s="18" t="e">
        <f t="shared" si="38"/>
        <v>#REF!</v>
      </c>
      <c r="P174" s="15"/>
      <c r="Q174" s="15"/>
      <c r="R174" s="11" t="e">
        <f t="shared" si="39"/>
        <v>#REF!</v>
      </c>
      <c r="S174" s="111" t="e">
        <f t="shared" si="43"/>
        <v>#REF!</v>
      </c>
      <c r="T174" s="83" t="e">
        <f t="shared" si="36"/>
        <v>#REF!</v>
      </c>
    </row>
    <row r="175" spans="2:20" ht="15.75">
      <c r="B175" s="22" t="s">
        <v>23</v>
      </c>
      <c r="C175" s="21">
        <f>C176+C177</f>
        <v>11874800</v>
      </c>
      <c r="D175" s="21">
        <f>D176+D177</f>
        <v>8005783</v>
      </c>
      <c r="E175" s="26">
        <f>D175/C175</f>
        <v>0.674182554653552</v>
      </c>
      <c r="F175" s="21">
        <f>F176+F177</f>
        <v>0</v>
      </c>
      <c r="G175" s="26">
        <f t="shared" si="41"/>
        <v>0.674182554653552</v>
      </c>
      <c r="H175" s="21">
        <f>H176+H177</f>
        <v>0</v>
      </c>
      <c r="I175" s="21">
        <f>I176+I177</f>
        <v>12500000</v>
      </c>
      <c r="J175" s="21">
        <v>7659049</v>
      </c>
      <c r="K175" s="26">
        <f t="shared" si="45"/>
        <v>0.61272392</v>
      </c>
      <c r="L175" s="21">
        <f>L176+L177</f>
        <v>0</v>
      </c>
      <c r="M175" s="21">
        <f>M176+M177</f>
        <v>9317784</v>
      </c>
      <c r="N175" s="21">
        <v>4134139</v>
      </c>
      <c r="O175" s="26">
        <f t="shared" si="38"/>
        <v>0.4436826395632266</v>
      </c>
      <c r="P175" s="21">
        <f>P176+P177</f>
        <v>0</v>
      </c>
      <c r="Q175" s="21"/>
      <c r="R175" s="117">
        <f t="shared" si="39"/>
        <v>9317784</v>
      </c>
      <c r="S175" s="113">
        <f t="shared" si="43"/>
        <v>2.253863259072808</v>
      </c>
      <c r="T175" s="84">
        <f t="shared" si="36"/>
        <v>5183645</v>
      </c>
    </row>
    <row r="176" spans="2:20" ht="15.75">
      <c r="B176" s="28" t="s">
        <v>19</v>
      </c>
      <c r="C176" s="6">
        <v>4900000</v>
      </c>
      <c r="D176" s="6">
        <v>3852252</v>
      </c>
      <c r="E176" s="16"/>
      <c r="F176" s="7"/>
      <c r="G176" s="16">
        <f t="shared" si="41"/>
        <v>0.7861738775510204</v>
      </c>
      <c r="H176" s="7"/>
      <c r="I176" s="6">
        <v>5000000</v>
      </c>
      <c r="J176" s="6"/>
      <c r="K176" s="16">
        <f t="shared" si="45"/>
        <v>0</v>
      </c>
      <c r="L176" s="6"/>
      <c r="M176" s="7">
        <f>4300000-430216</f>
        <v>3869784</v>
      </c>
      <c r="N176" s="6"/>
      <c r="O176" s="16">
        <f t="shared" si="38"/>
        <v>0</v>
      </c>
      <c r="P176" s="6"/>
      <c r="Q176" s="6"/>
      <c r="R176" s="11">
        <f t="shared" si="39"/>
        <v>3869784</v>
      </c>
      <c r="S176" s="112" t="e">
        <f t="shared" si="43"/>
        <v>#DIV/0!</v>
      </c>
      <c r="T176" s="85">
        <f t="shared" si="36"/>
        <v>3869784</v>
      </c>
    </row>
    <row r="177" spans="1:20" ht="15" customHeight="1">
      <c r="A177" s="66"/>
      <c r="B177" s="28" t="s">
        <v>20</v>
      </c>
      <c r="C177" s="6">
        <v>6974800</v>
      </c>
      <c r="D177" s="6">
        <v>4153531</v>
      </c>
      <c r="E177" s="16"/>
      <c r="F177" s="7"/>
      <c r="G177" s="16">
        <f t="shared" si="41"/>
        <v>0.5955053908355795</v>
      </c>
      <c r="H177" s="7"/>
      <c r="I177" s="6">
        <v>7500000</v>
      </c>
      <c r="J177" s="6"/>
      <c r="K177" s="16">
        <f t="shared" si="45"/>
        <v>0</v>
      </c>
      <c r="L177" s="6"/>
      <c r="M177" s="7">
        <v>5448000</v>
      </c>
      <c r="N177" s="6"/>
      <c r="O177" s="16">
        <f t="shared" si="38"/>
        <v>0</v>
      </c>
      <c r="P177" s="6"/>
      <c r="Q177" s="6"/>
      <c r="R177" s="11">
        <f t="shared" si="39"/>
        <v>5448000</v>
      </c>
      <c r="S177" s="112" t="e">
        <f t="shared" si="43"/>
        <v>#DIV/0!</v>
      </c>
      <c r="T177" s="85">
        <f t="shared" si="36"/>
        <v>5448000</v>
      </c>
    </row>
    <row r="178" spans="1:20" ht="0.75" customHeight="1" hidden="1">
      <c r="A178" s="66"/>
      <c r="B178" s="31" t="s">
        <v>78</v>
      </c>
      <c r="C178" s="21">
        <v>0</v>
      </c>
      <c r="D178" s="21"/>
      <c r="E178" s="26"/>
      <c r="F178" s="21"/>
      <c r="G178" s="26" t="e">
        <f t="shared" si="41"/>
        <v>#DIV/0!</v>
      </c>
      <c r="H178" s="21"/>
      <c r="I178" s="21">
        <f>C178+H178</f>
        <v>0</v>
      </c>
      <c r="J178" s="21"/>
      <c r="K178" s="18" t="e">
        <f t="shared" si="45"/>
        <v>#DIV/0!</v>
      </c>
      <c r="L178" s="21"/>
      <c r="M178" s="15">
        <f t="shared" si="46"/>
        <v>0</v>
      </c>
      <c r="N178" s="15"/>
      <c r="O178" s="18" t="e">
        <f t="shared" si="38"/>
        <v>#DIV/0!</v>
      </c>
      <c r="P178" s="15"/>
      <c r="Q178" s="15"/>
      <c r="R178" s="11">
        <f t="shared" si="39"/>
        <v>0</v>
      </c>
      <c r="S178" s="111" t="e">
        <f t="shared" si="43"/>
        <v>#DIV/0!</v>
      </c>
      <c r="T178" s="83">
        <f t="shared" si="36"/>
        <v>0</v>
      </c>
    </row>
    <row r="179" spans="1:20" ht="15.75" hidden="1">
      <c r="A179" s="66"/>
      <c r="B179" s="13" t="s">
        <v>16</v>
      </c>
      <c r="C179" s="39" t="e">
        <f>#REF!+B179</f>
        <v>#REF!</v>
      </c>
      <c r="D179" s="6"/>
      <c r="E179" s="26" t="e">
        <f>D179/C179</f>
        <v>#REF!</v>
      </c>
      <c r="F179" s="21"/>
      <c r="G179" s="26" t="e">
        <f t="shared" si="41"/>
        <v>#REF!</v>
      </c>
      <c r="H179" s="21"/>
      <c r="I179" s="21" t="e">
        <f>C179+F179</f>
        <v>#REF!</v>
      </c>
      <c r="J179" s="21"/>
      <c r="K179" s="18" t="e">
        <f t="shared" si="45"/>
        <v>#REF!</v>
      </c>
      <c r="L179" s="21"/>
      <c r="M179" s="15" t="e">
        <f t="shared" si="46"/>
        <v>#REF!</v>
      </c>
      <c r="N179" s="15"/>
      <c r="O179" s="18" t="e">
        <f t="shared" si="38"/>
        <v>#REF!</v>
      </c>
      <c r="P179" s="15"/>
      <c r="Q179" s="15"/>
      <c r="R179" s="11" t="e">
        <f t="shared" si="39"/>
        <v>#REF!</v>
      </c>
      <c r="S179" s="111" t="e">
        <f t="shared" si="43"/>
        <v>#REF!</v>
      </c>
      <c r="T179" s="83" t="e">
        <f t="shared" si="36"/>
        <v>#REF!</v>
      </c>
    </row>
    <row r="180" spans="1:20" ht="15.75" hidden="1">
      <c r="A180" s="66"/>
      <c r="B180" s="22" t="s">
        <v>4</v>
      </c>
      <c r="C180" s="39" t="e">
        <f>#REF!+B180</f>
        <v>#REF!</v>
      </c>
      <c r="D180" s="21"/>
      <c r="E180" s="26" t="e">
        <f>D180/C180</f>
        <v>#REF!</v>
      </c>
      <c r="F180" s="21"/>
      <c r="G180" s="26" t="e">
        <f t="shared" si="41"/>
        <v>#REF!</v>
      </c>
      <c r="H180" s="21"/>
      <c r="I180" s="21" t="e">
        <f>C180+F180</f>
        <v>#REF!</v>
      </c>
      <c r="J180" s="21"/>
      <c r="K180" s="18" t="e">
        <f t="shared" si="45"/>
        <v>#REF!</v>
      </c>
      <c r="L180" s="21"/>
      <c r="M180" s="15" t="e">
        <f t="shared" si="46"/>
        <v>#REF!</v>
      </c>
      <c r="N180" s="15"/>
      <c r="O180" s="18" t="e">
        <f t="shared" si="38"/>
        <v>#REF!</v>
      </c>
      <c r="P180" s="15"/>
      <c r="Q180" s="15"/>
      <c r="R180" s="11" t="e">
        <f t="shared" si="39"/>
        <v>#REF!</v>
      </c>
      <c r="S180" s="111" t="e">
        <f t="shared" si="43"/>
        <v>#REF!</v>
      </c>
      <c r="T180" s="83" t="e">
        <f t="shared" si="36"/>
        <v>#REF!</v>
      </c>
    </row>
    <row r="181" spans="1:20" ht="15.75" hidden="1">
      <c r="A181" s="66"/>
      <c r="B181" s="31" t="s">
        <v>70</v>
      </c>
      <c r="C181" s="21">
        <v>0</v>
      </c>
      <c r="D181" s="21"/>
      <c r="E181" s="26"/>
      <c r="F181" s="21"/>
      <c r="G181" s="26" t="e">
        <f t="shared" si="41"/>
        <v>#DIV/0!</v>
      </c>
      <c r="H181" s="21"/>
      <c r="I181" s="21">
        <f>C181+H181</f>
        <v>0</v>
      </c>
      <c r="J181" s="21"/>
      <c r="K181" s="18" t="e">
        <f t="shared" si="45"/>
        <v>#DIV/0!</v>
      </c>
      <c r="L181" s="21"/>
      <c r="M181" s="15">
        <f t="shared" si="46"/>
        <v>0</v>
      </c>
      <c r="N181" s="15"/>
      <c r="O181" s="18" t="e">
        <f t="shared" si="38"/>
        <v>#DIV/0!</v>
      </c>
      <c r="P181" s="15"/>
      <c r="Q181" s="15"/>
      <c r="R181" s="11">
        <f t="shared" si="39"/>
        <v>0</v>
      </c>
      <c r="S181" s="111" t="e">
        <f t="shared" si="43"/>
        <v>#DIV/0!</v>
      </c>
      <c r="T181" s="83">
        <f t="shared" si="36"/>
        <v>0</v>
      </c>
    </row>
    <row r="182" spans="1:20" ht="15.75" customHeight="1" hidden="1">
      <c r="A182" s="66"/>
      <c r="B182" s="22" t="s">
        <v>69</v>
      </c>
      <c r="C182" s="21" t="e">
        <f>#REF!+B182</f>
        <v>#REF!</v>
      </c>
      <c r="D182" s="21"/>
      <c r="E182" s="26" t="e">
        <f>D182/C182</f>
        <v>#REF!</v>
      </c>
      <c r="F182" s="21"/>
      <c r="G182" s="26" t="e">
        <f t="shared" si="41"/>
        <v>#REF!</v>
      </c>
      <c r="H182" s="21"/>
      <c r="I182" s="21" t="e">
        <f>C182+F182</f>
        <v>#REF!</v>
      </c>
      <c r="J182" s="21"/>
      <c r="K182" s="18" t="e">
        <f t="shared" si="45"/>
        <v>#REF!</v>
      </c>
      <c r="L182" s="21"/>
      <c r="M182" s="15" t="e">
        <f t="shared" si="46"/>
        <v>#REF!</v>
      </c>
      <c r="N182" s="15"/>
      <c r="O182" s="18" t="e">
        <f t="shared" si="38"/>
        <v>#REF!</v>
      </c>
      <c r="P182" s="15"/>
      <c r="Q182" s="15"/>
      <c r="R182" s="11" t="e">
        <f t="shared" si="39"/>
        <v>#REF!</v>
      </c>
      <c r="S182" s="111" t="e">
        <f t="shared" si="43"/>
        <v>#REF!</v>
      </c>
      <c r="T182" s="83" t="e">
        <f t="shared" si="36"/>
        <v>#REF!</v>
      </c>
    </row>
    <row r="183" spans="1:20" ht="15.75" customHeight="1" hidden="1">
      <c r="A183" s="66"/>
      <c r="B183" s="22" t="s">
        <v>62</v>
      </c>
      <c r="C183" s="21" t="e">
        <f>#REF!+B183</f>
        <v>#REF!</v>
      </c>
      <c r="D183" s="21"/>
      <c r="E183" s="26" t="e">
        <f>D183/C183</f>
        <v>#REF!</v>
      </c>
      <c r="F183" s="21"/>
      <c r="G183" s="26" t="e">
        <f t="shared" si="41"/>
        <v>#REF!</v>
      </c>
      <c r="H183" s="21"/>
      <c r="I183" s="21" t="e">
        <f>C183+F183</f>
        <v>#REF!</v>
      </c>
      <c r="J183" s="21"/>
      <c r="K183" s="18" t="e">
        <f t="shared" si="45"/>
        <v>#REF!</v>
      </c>
      <c r="L183" s="21"/>
      <c r="M183" s="15" t="e">
        <f t="shared" si="46"/>
        <v>#REF!</v>
      </c>
      <c r="N183" s="15"/>
      <c r="O183" s="18" t="e">
        <f t="shared" si="38"/>
        <v>#REF!</v>
      </c>
      <c r="P183" s="15"/>
      <c r="Q183" s="15"/>
      <c r="R183" s="11" t="e">
        <f t="shared" si="39"/>
        <v>#REF!</v>
      </c>
      <c r="S183" s="111" t="e">
        <f t="shared" si="43"/>
        <v>#REF!</v>
      </c>
      <c r="T183" s="83" t="e">
        <f t="shared" si="36"/>
        <v>#REF!</v>
      </c>
    </row>
    <row r="184" spans="1:20" ht="1.5" customHeight="1" hidden="1">
      <c r="A184" s="66"/>
      <c r="B184" s="22"/>
      <c r="C184" s="21" t="e">
        <f>#REF!+B184</f>
        <v>#REF!</v>
      </c>
      <c r="D184" s="21"/>
      <c r="E184" s="26" t="e">
        <f>D184/C184</f>
        <v>#REF!</v>
      </c>
      <c r="F184" s="21"/>
      <c r="G184" s="26" t="e">
        <f t="shared" si="41"/>
        <v>#REF!</v>
      </c>
      <c r="H184" s="21"/>
      <c r="I184" s="21"/>
      <c r="J184" s="21"/>
      <c r="K184" s="18" t="e">
        <f t="shared" si="45"/>
        <v>#DIV/0!</v>
      </c>
      <c r="L184" s="21"/>
      <c r="M184" s="15">
        <f t="shared" si="46"/>
        <v>0</v>
      </c>
      <c r="N184" s="15"/>
      <c r="O184" s="18" t="e">
        <f t="shared" si="38"/>
        <v>#DIV/0!</v>
      </c>
      <c r="P184" s="15"/>
      <c r="Q184" s="15"/>
      <c r="R184" s="11">
        <f t="shared" si="39"/>
        <v>0</v>
      </c>
      <c r="S184" s="111" t="e">
        <f t="shared" si="43"/>
        <v>#DIV/0!</v>
      </c>
      <c r="T184" s="83">
        <f t="shared" si="36"/>
        <v>0</v>
      </c>
    </row>
    <row r="185" spans="1:20" ht="1.5" customHeight="1" hidden="1">
      <c r="A185" s="66"/>
      <c r="B185" s="22"/>
      <c r="C185" s="21"/>
      <c r="D185" s="21"/>
      <c r="E185" s="26"/>
      <c r="F185" s="21"/>
      <c r="G185" s="26"/>
      <c r="H185" s="21"/>
      <c r="I185" s="21"/>
      <c r="J185" s="21"/>
      <c r="K185" s="18"/>
      <c r="L185" s="21"/>
      <c r="M185" s="15"/>
      <c r="N185" s="15"/>
      <c r="O185" s="18" t="e">
        <f t="shared" si="38"/>
        <v>#DIV/0!</v>
      </c>
      <c r="P185" s="15"/>
      <c r="Q185" s="15"/>
      <c r="R185" s="11">
        <f t="shared" si="39"/>
        <v>0</v>
      </c>
      <c r="S185" s="111"/>
      <c r="T185" s="83"/>
    </row>
    <row r="186" spans="1:20" ht="15.75">
      <c r="A186" s="66"/>
      <c r="B186" s="22" t="s">
        <v>156</v>
      </c>
      <c r="C186" s="21"/>
      <c r="D186" s="21"/>
      <c r="E186" s="26"/>
      <c r="F186" s="21"/>
      <c r="G186" s="26"/>
      <c r="H186" s="21"/>
      <c r="I186" s="21"/>
      <c r="J186" s="21"/>
      <c r="K186" s="18"/>
      <c r="L186" s="21"/>
      <c r="M186" s="21"/>
      <c r="N186" s="21"/>
      <c r="O186" s="26"/>
      <c r="P186" s="21"/>
      <c r="Q186" s="21"/>
      <c r="R186" s="117">
        <f t="shared" si="39"/>
        <v>0</v>
      </c>
      <c r="S186" s="113"/>
      <c r="T186" s="84"/>
    </row>
    <row r="187" spans="1:20" ht="15.75">
      <c r="A187" s="66"/>
      <c r="B187" s="22" t="s">
        <v>34</v>
      </c>
      <c r="C187" s="21"/>
      <c r="D187" s="21"/>
      <c r="E187" s="26"/>
      <c r="F187" s="21"/>
      <c r="G187" s="26"/>
      <c r="H187" s="21"/>
      <c r="I187" s="21"/>
      <c r="J187" s="21"/>
      <c r="K187" s="18"/>
      <c r="L187" s="21"/>
      <c r="M187" s="21"/>
      <c r="N187" s="21"/>
      <c r="O187" s="26"/>
      <c r="P187" s="21"/>
      <c r="Q187" s="21"/>
      <c r="R187" s="117">
        <f t="shared" si="39"/>
        <v>0</v>
      </c>
      <c r="S187" s="113" t="e">
        <f aca="true" t="shared" si="47" ref="S187:S212">R187/N187</f>
        <v>#DIV/0!</v>
      </c>
      <c r="T187" s="84">
        <f aca="true" t="shared" si="48" ref="T187:T212">R187-N187</f>
        <v>0</v>
      </c>
    </row>
    <row r="188" spans="1:20" ht="15.75" customHeight="1">
      <c r="A188" s="66"/>
      <c r="B188" s="22" t="s">
        <v>55</v>
      </c>
      <c r="C188" s="21">
        <v>2500000</v>
      </c>
      <c r="D188" s="21">
        <v>2408248</v>
      </c>
      <c r="E188" s="26">
        <f>D188/C188</f>
        <v>0.9632992</v>
      </c>
      <c r="F188" s="21"/>
      <c r="G188" s="26">
        <f aca="true" t="shared" si="49" ref="G188:G212">D188/C188</f>
        <v>0.9632992</v>
      </c>
      <c r="H188" s="21"/>
      <c r="I188" s="21">
        <v>2544000</v>
      </c>
      <c r="J188" s="21">
        <v>2517593</v>
      </c>
      <c r="K188" s="26">
        <f aca="true" t="shared" si="50" ref="K188:K200">J188/I188</f>
        <v>0.9896198899371069</v>
      </c>
      <c r="L188" s="21"/>
      <c r="M188" s="21">
        <v>2450000</v>
      </c>
      <c r="N188" s="21"/>
      <c r="O188" s="26">
        <f t="shared" si="38"/>
        <v>0</v>
      </c>
      <c r="P188" s="21"/>
      <c r="Q188" s="21"/>
      <c r="R188" s="117">
        <f t="shared" si="39"/>
        <v>2450000</v>
      </c>
      <c r="S188" s="113" t="e">
        <f t="shared" si="47"/>
        <v>#DIV/0!</v>
      </c>
      <c r="T188" s="84">
        <f t="shared" si="48"/>
        <v>2450000</v>
      </c>
    </row>
    <row r="189" spans="1:20" ht="0.75" customHeight="1">
      <c r="A189" s="66"/>
      <c r="B189" s="22"/>
      <c r="C189" s="21"/>
      <c r="D189" s="21"/>
      <c r="E189" s="18" t="e">
        <f>D189/C189</f>
        <v>#DIV/0!</v>
      </c>
      <c r="F189" s="7"/>
      <c r="G189" s="18" t="e">
        <f t="shared" si="49"/>
        <v>#DIV/0!</v>
      </c>
      <c r="H189" s="7"/>
      <c r="I189" s="6">
        <f>C189+F189</f>
        <v>0</v>
      </c>
      <c r="J189" s="6"/>
      <c r="K189" s="18" t="e">
        <f t="shared" si="50"/>
        <v>#DIV/0!</v>
      </c>
      <c r="L189" s="6"/>
      <c r="M189" s="15">
        <f aca="true" t="shared" si="51" ref="M189:M197">I189+L189</f>
        <v>0</v>
      </c>
      <c r="N189" s="15"/>
      <c r="O189" s="18" t="e">
        <f t="shared" si="38"/>
        <v>#DIV/0!</v>
      </c>
      <c r="P189" s="15"/>
      <c r="Q189" s="15"/>
      <c r="R189" s="11">
        <f t="shared" si="39"/>
        <v>0</v>
      </c>
      <c r="S189" s="111" t="e">
        <f t="shared" si="47"/>
        <v>#DIV/0!</v>
      </c>
      <c r="T189" s="83">
        <f t="shared" si="48"/>
        <v>0</v>
      </c>
    </row>
    <row r="190" spans="1:20" ht="15.75" customHeight="1" hidden="1">
      <c r="A190" s="66"/>
      <c r="B190" s="13" t="s">
        <v>34</v>
      </c>
      <c r="C190" s="6"/>
      <c r="D190" s="6"/>
      <c r="E190" s="16"/>
      <c r="F190" s="7"/>
      <c r="G190" s="16" t="e">
        <f t="shared" si="49"/>
        <v>#DIV/0!</v>
      </c>
      <c r="H190" s="7"/>
      <c r="I190" s="6">
        <f>C190+H190</f>
        <v>0</v>
      </c>
      <c r="J190" s="6"/>
      <c r="K190" s="18" t="e">
        <f t="shared" si="50"/>
        <v>#DIV/0!</v>
      </c>
      <c r="L190" s="6"/>
      <c r="M190" s="15">
        <f t="shared" si="51"/>
        <v>0</v>
      </c>
      <c r="N190" s="15"/>
      <c r="O190" s="18" t="e">
        <f t="shared" si="38"/>
        <v>#DIV/0!</v>
      </c>
      <c r="P190" s="15"/>
      <c r="Q190" s="15"/>
      <c r="R190" s="11">
        <f t="shared" si="39"/>
        <v>0</v>
      </c>
      <c r="S190" s="111" t="e">
        <f t="shared" si="47"/>
        <v>#DIV/0!</v>
      </c>
      <c r="T190" s="83">
        <f t="shared" si="48"/>
        <v>0</v>
      </c>
    </row>
    <row r="191" spans="1:20" ht="15.75">
      <c r="A191" s="66"/>
      <c r="B191" s="14" t="s">
        <v>12</v>
      </c>
      <c r="C191" s="15">
        <f>C192</f>
        <v>12100000</v>
      </c>
      <c r="D191" s="15">
        <f>D192</f>
        <v>12082789</v>
      </c>
      <c r="E191" s="18">
        <f aca="true" t="shared" si="52" ref="E191:E196">D191/C191</f>
        <v>0.9985776033057852</v>
      </c>
      <c r="F191" s="15">
        <f>F192</f>
        <v>0</v>
      </c>
      <c r="G191" s="18">
        <f t="shared" si="49"/>
        <v>0.9985776033057852</v>
      </c>
      <c r="H191" s="15">
        <f>H192</f>
        <v>0</v>
      </c>
      <c r="I191" s="15">
        <f>I192</f>
        <v>12100000</v>
      </c>
      <c r="J191" s="15">
        <f>J192</f>
        <v>10279940</v>
      </c>
      <c r="K191" s="18">
        <f t="shared" si="50"/>
        <v>0.8495818181818182</v>
      </c>
      <c r="L191" s="15">
        <f>L192</f>
        <v>0</v>
      </c>
      <c r="M191" s="15">
        <f>M192</f>
        <v>10200000</v>
      </c>
      <c r="N191" s="15">
        <f>N192</f>
        <v>3003414</v>
      </c>
      <c r="O191" s="18">
        <f t="shared" si="38"/>
        <v>0.29445235294117644</v>
      </c>
      <c r="P191" s="15">
        <f>P192</f>
        <v>-312559</v>
      </c>
      <c r="Q191" s="15"/>
      <c r="R191" s="116">
        <f t="shared" si="39"/>
        <v>9887441</v>
      </c>
      <c r="S191" s="111">
        <f t="shared" si="47"/>
        <v>3.2920672940859967</v>
      </c>
      <c r="T191" s="83">
        <f t="shared" si="48"/>
        <v>6884027</v>
      </c>
    </row>
    <row r="192" spans="1:20" ht="15.75">
      <c r="A192" s="66"/>
      <c r="B192" s="13" t="s">
        <v>3</v>
      </c>
      <c r="C192" s="6">
        <v>12100000</v>
      </c>
      <c r="D192" s="6">
        <v>12082789</v>
      </c>
      <c r="E192" s="16">
        <f t="shared" si="52"/>
        <v>0.9985776033057852</v>
      </c>
      <c r="F192" s="6"/>
      <c r="G192" s="16">
        <f t="shared" si="49"/>
        <v>0.9985776033057852</v>
      </c>
      <c r="H192" s="6"/>
      <c r="I192" s="6">
        <v>12100000</v>
      </c>
      <c r="J192" s="6">
        <v>10279940</v>
      </c>
      <c r="K192" s="16">
        <f t="shared" si="50"/>
        <v>0.8495818181818182</v>
      </c>
      <c r="L192" s="6"/>
      <c r="M192" s="6">
        <v>10200000</v>
      </c>
      <c r="N192" s="6">
        <v>3003414</v>
      </c>
      <c r="O192" s="16">
        <f t="shared" si="38"/>
        <v>0.29445235294117644</v>
      </c>
      <c r="P192" s="6">
        <f>-214000-15000-75000-8559</f>
        <v>-312559</v>
      </c>
      <c r="Q192" s="6"/>
      <c r="R192" s="11">
        <f t="shared" si="39"/>
        <v>9887441</v>
      </c>
      <c r="S192" s="112">
        <f t="shared" si="47"/>
        <v>3.2920672940859967</v>
      </c>
      <c r="T192" s="85">
        <f t="shared" si="48"/>
        <v>6884027</v>
      </c>
    </row>
    <row r="193" spans="1:20" ht="15.75" hidden="1">
      <c r="A193" s="66"/>
      <c r="B193" s="13" t="s">
        <v>4</v>
      </c>
      <c r="C193" s="6" t="e">
        <f>#REF!+B193</f>
        <v>#REF!</v>
      </c>
      <c r="D193" s="6"/>
      <c r="E193" s="18" t="e">
        <f t="shared" si="52"/>
        <v>#REF!</v>
      </c>
      <c r="F193" s="7"/>
      <c r="G193" s="18" t="e">
        <f t="shared" si="49"/>
        <v>#REF!</v>
      </c>
      <c r="H193" s="7"/>
      <c r="I193" s="6" t="e">
        <f>C193+F193</f>
        <v>#REF!</v>
      </c>
      <c r="J193" s="6"/>
      <c r="K193" s="18" t="e">
        <f t="shared" si="50"/>
        <v>#REF!</v>
      </c>
      <c r="L193" s="6"/>
      <c r="M193" s="15" t="e">
        <f t="shared" si="51"/>
        <v>#REF!</v>
      </c>
      <c r="N193" s="15"/>
      <c r="O193" s="18" t="e">
        <f t="shared" si="38"/>
        <v>#REF!</v>
      </c>
      <c r="P193" s="15"/>
      <c r="Q193" s="15"/>
      <c r="R193" s="11" t="e">
        <f t="shared" si="39"/>
        <v>#REF!</v>
      </c>
      <c r="S193" s="111" t="e">
        <f t="shared" si="47"/>
        <v>#REF!</v>
      </c>
      <c r="T193" s="83" t="e">
        <f t="shared" si="48"/>
        <v>#REF!</v>
      </c>
    </row>
    <row r="194" spans="1:20" ht="15.75" hidden="1">
      <c r="A194" s="66"/>
      <c r="B194" s="13" t="s">
        <v>34</v>
      </c>
      <c r="C194" s="6" t="e">
        <f>#REF!+B194</f>
        <v>#REF!</v>
      </c>
      <c r="D194" s="6"/>
      <c r="E194" s="18" t="e">
        <f t="shared" si="52"/>
        <v>#REF!</v>
      </c>
      <c r="F194" s="7"/>
      <c r="G194" s="18" t="e">
        <f t="shared" si="49"/>
        <v>#REF!</v>
      </c>
      <c r="H194" s="7"/>
      <c r="I194" s="6" t="e">
        <f>C194+F194</f>
        <v>#REF!</v>
      </c>
      <c r="J194" s="6"/>
      <c r="K194" s="18" t="e">
        <f t="shared" si="50"/>
        <v>#REF!</v>
      </c>
      <c r="L194" s="6"/>
      <c r="M194" s="15" t="e">
        <f t="shared" si="51"/>
        <v>#REF!</v>
      </c>
      <c r="N194" s="15"/>
      <c r="O194" s="18" t="e">
        <f t="shared" si="38"/>
        <v>#REF!</v>
      </c>
      <c r="P194" s="15"/>
      <c r="Q194" s="15"/>
      <c r="R194" s="11" t="e">
        <f t="shared" si="39"/>
        <v>#REF!</v>
      </c>
      <c r="S194" s="111" t="e">
        <f t="shared" si="47"/>
        <v>#REF!</v>
      </c>
      <c r="T194" s="83" t="e">
        <f t="shared" si="48"/>
        <v>#REF!</v>
      </c>
    </row>
    <row r="195" spans="1:20" ht="15.75">
      <c r="A195" s="66"/>
      <c r="B195" s="14" t="s">
        <v>13</v>
      </c>
      <c r="C195" s="15">
        <f>C196+C197</f>
        <v>729898</v>
      </c>
      <c r="D195" s="15">
        <f>D196+D197</f>
        <v>23104</v>
      </c>
      <c r="E195" s="18">
        <f t="shared" si="52"/>
        <v>0.03165373791954492</v>
      </c>
      <c r="F195" s="15">
        <f>F196</f>
        <v>0</v>
      </c>
      <c r="G195" s="18">
        <f t="shared" si="49"/>
        <v>0.03165373791954492</v>
      </c>
      <c r="H195" s="15">
        <f>H196+H197</f>
        <v>0</v>
      </c>
      <c r="I195" s="15">
        <f>I196+I197</f>
        <v>1132000</v>
      </c>
      <c r="J195" s="15">
        <f>J196+J197</f>
        <v>493129</v>
      </c>
      <c r="K195" s="18">
        <f t="shared" si="50"/>
        <v>0.4356263250883392</v>
      </c>
      <c r="L195" s="15">
        <f>L196</f>
        <v>0</v>
      </c>
      <c r="M195" s="15">
        <f>M196</f>
        <v>1253000</v>
      </c>
      <c r="N195" s="15">
        <f>N196</f>
        <v>414664</v>
      </c>
      <c r="O195" s="18">
        <f t="shared" si="38"/>
        <v>0.3309369513168396</v>
      </c>
      <c r="P195" s="15">
        <f>P196</f>
        <v>0</v>
      </c>
      <c r="Q195" s="15"/>
      <c r="R195" s="116">
        <f t="shared" si="39"/>
        <v>1253000</v>
      </c>
      <c r="S195" s="111">
        <f t="shared" si="47"/>
        <v>3.0217236123704976</v>
      </c>
      <c r="T195" s="83">
        <f t="shared" si="48"/>
        <v>838336</v>
      </c>
    </row>
    <row r="196" spans="1:20" ht="15.75">
      <c r="A196" s="66"/>
      <c r="B196" s="13" t="s">
        <v>3</v>
      </c>
      <c r="C196" s="6">
        <v>729898</v>
      </c>
      <c r="D196" s="6">
        <v>23104</v>
      </c>
      <c r="E196" s="16">
        <f t="shared" si="52"/>
        <v>0.03165373791954492</v>
      </c>
      <c r="F196" s="7"/>
      <c r="G196" s="16">
        <f t="shared" si="49"/>
        <v>0.03165373791954492</v>
      </c>
      <c r="H196" s="7"/>
      <c r="I196" s="6">
        <v>1132000</v>
      </c>
      <c r="J196" s="6">
        <v>493129</v>
      </c>
      <c r="K196" s="16">
        <f t="shared" si="50"/>
        <v>0.4356263250883392</v>
      </c>
      <c r="L196" s="6"/>
      <c r="M196" s="6">
        <v>1253000</v>
      </c>
      <c r="N196" s="6">
        <v>414664</v>
      </c>
      <c r="O196" s="16">
        <f t="shared" si="38"/>
        <v>0.3309369513168396</v>
      </c>
      <c r="P196" s="6"/>
      <c r="Q196" s="6"/>
      <c r="R196" s="11">
        <f t="shared" si="39"/>
        <v>1253000</v>
      </c>
      <c r="S196" s="112">
        <f t="shared" si="47"/>
        <v>3.0217236123704976</v>
      </c>
      <c r="T196" s="85">
        <f t="shared" si="48"/>
        <v>838336</v>
      </c>
    </row>
    <row r="197" spans="1:20" ht="0.75" customHeight="1">
      <c r="A197" s="66"/>
      <c r="B197" s="30" t="s">
        <v>34</v>
      </c>
      <c r="C197" s="6"/>
      <c r="D197" s="6"/>
      <c r="E197" s="16"/>
      <c r="F197" s="7"/>
      <c r="G197" s="16" t="e">
        <f t="shared" si="49"/>
        <v>#DIV/0!</v>
      </c>
      <c r="H197" s="7"/>
      <c r="I197" s="6">
        <f>C197+H197</f>
        <v>0</v>
      </c>
      <c r="J197" s="6"/>
      <c r="K197" s="18" t="e">
        <f t="shared" si="50"/>
        <v>#DIV/0!</v>
      </c>
      <c r="L197" s="6"/>
      <c r="M197" s="15">
        <f t="shared" si="51"/>
        <v>0</v>
      </c>
      <c r="N197" s="15"/>
      <c r="O197" s="18" t="e">
        <f t="shared" si="38"/>
        <v>#DIV/0!</v>
      </c>
      <c r="P197" s="15"/>
      <c r="Q197" s="15"/>
      <c r="R197" s="11">
        <f t="shared" si="39"/>
        <v>0</v>
      </c>
      <c r="S197" s="111" t="e">
        <f t="shared" si="47"/>
        <v>#DIV/0!</v>
      </c>
      <c r="T197" s="83">
        <f t="shared" si="48"/>
        <v>0</v>
      </c>
    </row>
    <row r="198" spans="1:20" ht="15.75">
      <c r="A198" s="66"/>
      <c r="B198" s="14" t="s">
        <v>9</v>
      </c>
      <c r="C198" s="15">
        <f>C199+C200+C201+C202</f>
        <v>23741354</v>
      </c>
      <c r="D198" s="15">
        <f>D199+D200+D201+D202</f>
        <v>16541809</v>
      </c>
      <c r="E198" s="18">
        <f>D198/C198</f>
        <v>0.696750867705355</v>
      </c>
      <c r="F198" s="15">
        <f>F199+F200+F202</f>
        <v>0</v>
      </c>
      <c r="G198" s="18">
        <f t="shared" si="49"/>
        <v>0.696750867705355</v>
      </c>
      <c r="H198" s="15">
        <f>H199+H200+H201+H202</f>
        <v>0</v>
      </c>
      <c r="I198" s="15">
        <f>I199+I200+I201+I202</f>
        <v>42600000</v>
      </c>
      <c r="J198" s="15">
        <f>J199+J200+J201+J202</f>
        <v>31786749</v>
      </c>
      <c r="K198" s="18">
        <f t="shared" si="50"/>
        <v>0.7461678169014084</v>
      </c>
      <c r="L198" s="15">
        <f>L199+L200+L201+L202</f>
        <v>0</v>
      </c>
      <c r="M198" s="15">
        <f>M199+M200+M202+M211</f>
        <v>38100000</v>
      </c>
      <c r="N198" s="15">
        <f>N199+N200+N202+N211</f>
        <v>8470980</v>
      </c>
      <c r="O198" s="18">
        <f t="shared" si="38"/>
        <v>0.22233543307086615</v>
      </c>
      <c r="P198" s="15">
        <f>P199+P200+P202+P211</f>
        <v>0</v>
      </c>
      <c r="Q198" s="15"/>
      <c r="R198" s="116">
        <f t="shared" si="39"/>
        <v>38100000</v>
      </c>
      <c r="S198" s="111">
        <f t="shared" si="47"/>
        <v>4.497708647641713</v>
      </c>
      <c r="T198" s="83">
        <f t="shared" si="48"/>
        <v>29629020</v>
      </c>
    </row>
    <row r="199" spans="1:20" ht="15.75">
      <c r="A199" s="66"/>
      <c r="B199" s="13" t="s">
        <v>17</v>
      </c>
      <c r="C199" s="6">
        <v>5200000</v>
      </c>
      <c r="D199" s="6">
        <v>5200000</v>
      </c>
      <c r="E199" s="16">
        <f>D199/C199</f>
        <v>1</v>
      </c>
      <c r="F199" s="6"/>
      <c r="G199" s="16">
        <f t="shared" si="49"/>
        <v>1</v>
      </c>
      <c r="H199" s="6"/>
      <c r="I199" s="6">
        <v>6350000</v>
      </c>
      <c r="J199" s="6">
        <v>5565804</v>
      </c>
      <c r="K199" s="16">
        <f t="shared" si="50"/>
        <v>0.8765045669291338</v>
      </c>
      <c r="L199" s="6"/>
      <c r="M199" s="7">
        <v>7500000</v>
      </c>
      <c r="N199" s="6">
        <v>2621855</v>
      </c>
      <c r="O199" s="16">
        <f t="shared" si="38"/>
        <v>0.34958066666666665</v>
      </c>
      <c r="P199" s="6"/>
      <c r="Q199" s="6"/>
      <c r="R199" s="11">
        <f t="shared" si="39"/>
        <v>7500000</v>
      </c>
      <c r="S199" s="112">
        <f t="shared" si="47"/>
        <v>2.860570092548978</v>
      </c>
      <c r="T199" s="85">
        <f t="shared" si="48"/>
        <v>4878145</v>
      </c>
    </row>
    <row r="200" spans="1:20" ht="15" customHeight="1">
      <c r="A200" s="66"/>
      <c r="B200" s="13" t="s">
        <v>18</v>
      </c>
      <c r="C200" s="32">
        <v>9670000</v>
      </c>
      <c r="D200" s="6">
        <v>9670000</v>
      </c>
      <c r="E200" s="16">
        <f>D200/C200</f>
        <v>1</v>
      </c>
      <c r="F200" s="7"/>
      <c r="G200" s="16">
        <f t="shared" si="49"/>
        <v>1</v>
      </c>
      <c r="H200" s="7"/>
      <c r="I200" s="6">
        <v>8450000</v>
      </c>
      <c r="J200" s="6">
        <v>7615000</v>
      </c>
      <c r="K200" s="16">
        <f t="shared" si="50"/>
        <v>0.9011834319526627</v>
      </c>
      <c r="L200" s="6"/>
      <c r="M200" s="7">
        <v>8400000</v>
      </c>
      <c r="N200" s="6">
        <v>3825000</v>
      </c>
      <c r="O200" s="16">
        <f t="shared" si="38"/>
        <v>0.45535714285714285</v>
      </c>
      <c r="P200" s="6"/>
      <c r="Q200" s="6"/>
      <c r="R200" s="11">
        <f t="shared" si="39"/>
        <v>8400000</v>
      </c>
      <c r="S200" s="112">
        <f t="shared" si="47"/>
        <v>2.196078431372549</v>
      </c>
      <c r="T200" s="85">
        <f t="shared" si="48"/>
        <v>4575000</v>
      </c>
    </row>
    <row r="201" spans="1:20" ht="15.75" hidden="1">
      <c r="A201" s="66"/>
      <c r="B201" s="13" t="s">
        <v>34</v>
      </c>
      <c r="C201" s="6"/>
      <c r="D201" s="6"/>
      <c r="E201" s="16"/>
      <c r="F201" s="7"/>
      <c r="G201" s="16" t="e">
        <f t="shared" si="49"/>
        <v>#DIV/0!</v>
      </c>
      <c r="H201" s="7"/>
      <c r="I201" s="6"/>
      <c r="J201" s="6">
        <v>-35238</v>
      </c>
      <c r="K201" s="16"/>
      <c r="L201" s="6"/>
      <c r="M201" s="7"/>
      <c r="N201" s="6"/>
      <c r="O201" s="16" t="e">
        <f t="shared" si="38"/>
        <v>#DIV/0!</v>
      </c>
      <c r="P201" s="6"/>
      <c r="Q201" s="6"/>
      <c r="R201" s="11">
        <f t="shared" si="39"/>
        <v>0</v>
      </c>
      <c r="S201" s="112" t="e">
        <f t="shared" si="47"/>
        <v>#DIV/0!</v>
      </c>
      <c r="T201" s="85">
        <f t="shared" si="48"/>
        <v>0</v>
      </c>
    </row>
    <row r="202" spans="1:20" ht="15.75">
      <c r="A202" s="66"/>
      <c r="B202" s="13" t="s">
        <v>3</v>
      </c>
      <c r="C202" s="6">
        <v>8871354</v>
      </c>
      <c r="D202" s="6">
        <v>1671809</v>
      </c>
      <c r="E202" s="16">
        <f aca="true" t="shared" si="53" ref="E202:E208">D202/C202</f>
        <v>0.18845026362379408</v>
      </c>
      <c r="F202" s="6"/>
      <c r="G202" s="16">
        <f t="shared" si="49"/>
        <v>0.18845026362379408</v>
      </c>
      <c r="H202" s="6"/>
      <c r="I202" s="6">
        <v>27800000</v>
      </c>
      <c r="J202" s="6">
        <v>18641183</v>
      </c>
      <c r="K202" s="16">
        <f aca="true" t="shared" si="54" ref="K202:K212">J202/I202</f>
        <v>0.6705461510791367</v>
      </c>
      <c r="L202" s="6"/>
      <c r="M202" s="7">
        <v>22200000</v>
      </c>
      <c r="N202" s="6">
        <v>2027618</v>
      </c>
      <c r="O202" s="16">
        <f t="shared" si="38"/>
        <v>0.09133414414414415</v>
      </c>
      <c r="P202" s="6"/>
      <c r="Q202" s="6"/>
      <c r="R202" s="11">
        <f t="shared" si="39"/>
        <v>22200000</v>
      </c>
      <c r="S202" s="112">
        <f t="shared" si="47"/>
        <v>10.948807911549414</v>
      </c>
      <c r="T202" s="85">
        <f t="shared" si="48"/>
        <v>20172382</v>
      </c>
    </row>
    <row r="203" spans="1:20" ht="15.75" hidden="1">
      <c r="A203" s="66"/>
      <c r="B203" s="13" t="s">
        <v>4</v>
      </c>
      <c r="C203" s="6" t="e">
        <f>#REF!+B203</f>
        <v>#REF!</v>
      </c>
      <c r="D203" s="6"/>
      <c r="E203" s="18" t="e">
        <f t="shared" si="53"/>
        <v>#REF!</v>
      </c>
      <c r="F203" s="7"/>
      <c r="G203" s="16" t="e">
        <f t="shared" si="49"/>
        <v>#REF!</v>
      </c>
      <c r="H203" s="7"/>
      <c r="I203" s="6" t="e">
        <f aca="true" t="shared" si="55" ref="I203:I211">C203+F203</f>
        <v>#REF!</v>
      </c>
      <c r="J203" s="6"/>
      <c r="K203" s="18" t="e">
        <f t="shared" si="54"/>
        <v>#REF!</v>
      </c>
      <c r="L203" s="6"/>
      <c r="M203" s="7" t="e">
        <f aca="true" t="shared" si="56" ref="M203:M210">I203/C203</f>
        <v>#REF!</v>
      </c>
      <c r="N203" s="7"/>
      <c r="O203" s="18" t="e">
        <f t="shared" si="38"/>
        <v>#REF!</v>
      </c>
      <c r="P203" s="7"/>
      <c r="Q203" s="7"/>
      <c r="R203" s="11" t="e">
        <f t="shared" si="39"/>
        <v>#REF!</v>
      </c>
      <c r="S203" s="111" t="e">
        <f t="shared" si="47"/>
        <v>#REF!</v>
      </c>
      <c r="T203" s="83" t="e">
        <f t="shared" si="48"/>
        <v>#REF!</v>
      </c>
    </row>
    <row r="204" spans="1:20" ht="0.75" customHeight="1" hidden="1" thickBot="1">
      <c r="A204" s="66"/>
      <c r="B204" s="41"/>
      <c r="C204" s="15" t="e">
        <f>#REF!+B204</f>
        <v>#REF!</v>
      </c>
      <c r="D204" s="6"/>
      <c r="E204" s="18" t="e">
        <f t="shared" si="53"/>
        <v>#REF!</v>
      </c>
      <c r="F204" s="7"/>
      <c r="G204" s="16" t="e">
        <f t="shared" si="49"/>
        <v>#REF!</v>
      </c>
      <c r="H204" s="7"/>
      <c r="I204" s="6" t="e">
        <f t="shared" si="55"/>
        <v>#REF!</v>
      </c>
      <c r="J204" s="6"/>
      <c r="K204" s="18" t="e">
        <f t="shared" si="54"/>
        <v>#REF!</v>
      </c>
      <c r="L204" s="6"/>
      <c r="M204" s="7" t="e">
        <f t="shared" si="56"/>
        <v>#REF!</v>
      </c>
      <c r="N204" s="7"/>
      <c r="O204" s="18" t="e">
        <f aca="true" t="shared" si="57" ref="O204:O212">N204/M204</f>
        <v>#REF!</v>
      </c>
      <c r="P204" s="7"/>
      <c r="Q204" s="7"/>
      <c r="R204" s="11" t="e">
        <f t="shared" si="39"/>
        <v>#REF!</v>
      </c>
      <c r="S204" s="111" t="e">
        <f t="shared" si="47"/>
        <v>#REF!</v>
      </c>
      <c r="T204" s="83" t="e">
        <f t="shared" si="48"/>
        <v>#REF!</v>
      </c>
    </row>
    <row r="205" spans="1:20" ht="15.75" hidden="1">
      <c r="A205" s="66"/>
      <c r="B205" s="42"/>
      <c r="C205" s="15" t="e">
        <f>#REF!+B205</f>
        <v>#REF!</v>
      </c>
      <c r="D205" s="6"/>
      <c r="E205" s="18" t="e">
        <f t="shared" si="53"/>
        <v>#REF!</v>
      </c>
      <c r="F205" s="7"/>
      <c r="G205" s="16" t="e">
        <f t="shared" si="49"/>
        <v>#REF!</v>
      </c>
      <c r="H205" s="7"/>
      <c r="I205" s="6" t="e">
        <f t="shared" si="55"/>
        <v>#REF!</v>
      </c>
      <c r="J205" s="6"/>
      <c r="K205" s="18" t="e">
        <f t="shared" si="54"/>
        <v>#REF!</v>
      </c>
      <c r="L205" s="6"/>
      <c r="M205" s="7" t="e">
        <f t="shared" si="56"/>
        <v>#REF!</v>
      </c>
      <c r="N205" s="7"/>
      <c r="O205" s="18" t="e">
        <f t="shared" si="57"/>
        <v>#REF!</v>
      </c>
      <c r="P205" s="7"/>
      <c r="Q205" s="7"/>
      <c r="R205" s="11" t="e">
        <f aca="true" t="shared" si="58" ref="R205:R211">M205+P205</f>
        <v>#REF!</v>
      </c>
      <c r="S205" s="111" t="e">
        <f t="shared" si="47"/>
        <v>#REF!</v>
      </c>
      <c r="T205" s="83" t="e">
        <f t="shared" si="48"/>
        <v>#REF!</v>
      </c>
    </row>
    <row r="206" spans="1:20" ht="15.75" hidden="1">
      <c r="A206" s="66"/>
      <c r="B206" s="42"/>
      <c r="C206" s="15" t="e">
        <f>#REF!+B206</f>
        <v>#REF!</v>
      </c>
      <c r="D206" s="6"/>
      <c r="E206" s="18" t="e">
        <f t="shared" si="53"/>
        <v>#REF!</v>
      </c>
      <c r="F206" s="7"/>
      <c r="G206" s="16" t="e">
        <f t="shared" si="49"/>
        <v>#REF!</v>
      </c>
      <c r="H206" s="7"/>
      <c r="I206" s="6" t="e">
        <f t="shared" si="55"/>
        <v>#REF!</v>
      </c>
      <c r="J206" s="6"/>
      <c r="K206" s="18" t="e">
        <f t="shared" si="54"/>
        <v>#REF!</v>
      </c>
      <c r="L206" s="6"/>
      <c r="M206" s="7" t="e">
        <f t="shared" si="56"/>
        <v>#REF!</v>
      </c>
      <c r="N206" s="7"/>
      <c r="O206" s="18" t="e">
        <f t="shared" si="57"/>
        <v>#REF!</v>
      </c>
      <c r="P206" s="7"/>
      <c r="Q206" s="7"/>
      <c r="R206" s="11" t="e">
        <f t="shared" si="58"/>
        <v>#REF!</v>
      </c>
      <c r="S206" s="111" t="e">
        <f t="shared" si="47"/>
        <v>#REF!</v>
      </c>
      <c r="T206" s="83" t="e">
        <f t="shared" si="48"/>
        <v>#REF!</v>
      </c>
    </row>
    <row r="207" spans="1:20" ht="15.75" hidden="1">
      <c r="A207" s="66"/>
      <c r="B207" s="13"/>
      <c r="C207" s="15" t="e">
        <f>#REF!+B207</f>
        <v>#REF!</v>
      </c>
      <c r="D207" s="6"/>
      <c r="E207" s="18" t="e">
        <f t="shared" si="53"/>
        <v>#REF!</v>
      </c>
      <c r="F207" s="7"/>
      <c r="G207" s="16" t="e">
        <f t="shared" si="49"/>
        <v>#REF!</v>
      </c>
      <c r="H207" s="7"/>
      <c r="I207" s="6" t="e">
        <f t="shared" si="55"/>
        <v>#REF!</v>
      </c>
      <c r="J207" s="6"/>
      <c r="K207" s="18" t="e">
        <f t="shared" si="54"/>
        <v>#REF!</v>
      </c>
      <c r="L207" s="6"/>
      <c r="M207" s="7" t="e">
        <f t="shared" si="56"/>
        <v>#REF!</v>
      </c>
      <c r="N207" s="7"/>
      <c r="O207" s="18" t="e">
        <f t="shared" si="57"/>
        <v>#REF!</v>
      </c>
      <c r="P207" s="7"/>
      <c r="Q207" s="7"/>
      <c r="R207" s="11" t="e">
        <f t="shared" si="58"/>
        <v>#REF!</v>
      </c>
      <c r="S207" s="111" t="e">
        <f t="shared" si="47"/>
        <v>#REF!</v>
      </c>
      <c r="T207" s="83" t="e">
        <f t="shared" si="48"/>
        <v>#REF!</v>
      </c>
    </row>
    <row r="208" spans="1:20" ht="15.75" hidden="1">
      <c r="A208" s="66"/>
      <c r="B208" s="13"/>
      <c r="C208" s="15" t="e">
        <f>#REF!+B208</f>
        <v>#REF!</v>
      </c>
      <c r="D208" s="6"/>
      <c r="E208" s="18" t="e">
        <f t="shared" si="53"/>
        <v>#REF!</v>
      </c>
      <c r="F208" s="7"/>
      <c r="G208" s="16" t="e">
        <f t="shared" si="49"/>
        <v>#REF!</v>
      </c>
      <c r="H208" s="7"/>
      <c r="I208" s="6" t="e">
        <f t="shared" si="55"/>
        <v>#REF!</v>
      </c>
      <c r="J208" s="6"/>
      <c r="K208" s="18" t="e">
        <f t="shared" si="54"/>
        <v>#REF!</v>
      </c>
      <c r="L208" s="6"/>
      <c r="M208" s="7" t="e">
        <f t="shared" si="56"/>
        <v>#REF!</v>
      </c>
      <c r="N208" s="7"/>
      <c r="O208" s="18" t="e">
        <f t="shared" si="57"/>
        <v>#REF!</v>
      </c>
      <c r="P208" s="7"/>
      <c r="Q208" s="7"/>
      <c r="R208" s="11" t="e">
        <f t="shared" si="58"/>
        <v>#REF!</v>
      </c>
      <c r="S208" s="111" t="e">
        <f t="shared" si="47"/>
        <v>#REF!</v>
      </c>
      <c r="T208" s="83" t="e">
        <f t="shared" si="48"/>
        <v>#REF!</v>
      </c>
    </row>
    <row r="209" spans="1:20" ht="0.75" customHeight="1" hidden="1" thickBot="1">
      <c r="A209" s="66"/>
      <c r="B209" s="14" t="s">
        <v>56</v>
      </c>
      <c r="C209" s="15">
        <f>C210</f>
        <v>0</v>
      </c>
      <c r="D209" s="15">
        <f>D210</f>
        <v>0</v>
      </c>
      <c r="E209" s="18"/>
      <c r="F209" s="15">
        <f>F210</f>
        <v>0</v>
      </c>
      <c r="G209" s="16" t="e">
        <f t="shared" si="49"/>
        <v>#DIV/0!</v>
      </c>
      <c r="H209" s="15"/>
      <c r="I209" s="15">
        <f t="shared" si="55"/>
        <v>0</v>
      </c>
      <c r="J209" s="15"/>
      <c r="K209" s="18" t="e">
        <f t="shared" si="54"/>
        <v>#DIV/0!</v>
      </c>
      <c r="L209" s="15"/>
      <c r="M209" s="7" t="e">
        <f t="shared" si="56"/>
        <v>#DIV/0!</v>
      </c>
      <c r="N209" s="7"/>
      <c r="O209" s="18" t="e">
        <f t="shared" si="57"/>
        <v>#DIV/0!</v>
      </c>
      <c r="P209" s="7"/>
      <c r="Q209" s="7"/>
      <c r="R209" s="11" t="e">
        <f t="shared" si="58"/>
        <v>#DIV/0!</v>
      </c>
      <c r="S209" s="111" t="e">
        <f t="shared" si="47"/>
        <v>#DIV/0!</v>
      </c>
      <c r="T209" s="83" t="e">
        <f t="shared" si="48"/>
        <v>#DIV/0!</v>
      </c>
    </row>
    <row r="210" spans="1:20" ht="30.75" hidden="1">
      <c r="A210" s="66"/>
      <c r="B210" s="49" t="s">
        <v>73</v>
      </c>
      <c r="C210" s="6"/>
      <c r="D210" s="6"/>
      <c r="E210" s="16"/>
      <c r="F210" s="7"/>
      <c r="G210" s="16" t="e">
        <f t="shared" si="49"/>
        <v>#DIV/0!</v>
      </c>
      <c r="H210" s="7"/>
      <c r="I210" s="6">
        <f t="shared" si="55"/>
        <v>0</v>
      </c>
      <c r="J210" s="6"/>
      <c r="K210" s="18" t="e">
        <f t="shared" si="54"/>
        <v>#DIV/0!</v>
      </c>
      <c r="L210" s="6"/>
      <c r="M210" s="7" t="e">
        <f t="shared" si="56"/>
        <v>#DIV/0!</v>
      </c>
      <c r="N210" s="7"/>
      <c r="O210" s="18" t="e">
        <f t="shared" si="57"/>
        <v>#DIV/0!</v>
      </c>
      <c r="P210" s="7"/>
      <c r="Q210" s="7"/>
      <c r="R210" s="11" t="e">
        <f t="shared" si="58"/>
        <v>#DIV/0!</v>
      </c>
      <c r="S210" s="111" t="e">
        <f t="shared" si="47"/>
        <v>#DIV/0!</v>
      </c>
      <c r="T210" s="83" t="e">
        <f t="shared" si="48"/>
        <v>#DIV/0!</v>
      </c>
    </row>
    <row r="211" spans="1:20" ht="15.75">
      <c r="A211" s="66"/>
      <c r="B211" s="22" t="s">
        <v>34</v>
      </c>
      <c r="C211" s="15">
        <v>0</v>
      </c>
      <c r="D211" s="15"/>
      <c r="E211" s="18"/>
      <c r="F211" s="15"/>
      <c r="G211" s="16" t="e">
        <f t="shared" si="49"/>
        <v>#DIV/0!</v>
      </c>
      <c r="H211" s="15"/>
      <c r="I211" s="15">
        <f t="shared" si="55"/>
        <v>0</v>
      </c>
      <c r="J211" s="15"/>
      <c r="K211" s="18" t="e">
        <f t="shared" si="54"/>
        <v>#DIV/0!</v>
      </c>
      <c r="L211" s="15"/>
      <c r="M211" s="21"/>
      <c r="N211" s="21">
        <v>-3493</v>
      </c>
      <c r="O211" s="26"/>
      <c r="P211" s="21"/>
      <c r="Q211" s="21"/>
      <c r="R211" s="117">
        <f t="shared" si="58"/>
        <v>0</v>
      </c>
      <c r="S211" s="113">
        <f t="shared" si="47"/>
        <v>0</v>
      </c>
      <c r="T211" s="84">
        <f t="shared" si="48"/>
        <v>3493</v>
      </c>
    </row>
    <row r="212" spans="1:20" ht="20.25">
      <c r="A212" s="66"/>
      <c r="B212" s="72" t="s">
        <v>1</v>
      </c>
      <c r="C212" s="70">
        <f>C75+C81+C89+C96+C103+C118+C126+C145+C173+C191+C195+C198+C209+C211</f>
        <v>224238631</v>
      </c>
      <c r="D212" s="70">
        <f>D75+D81+D89+D93+D96+D103+D118+D126+D145+D173+D191+D195+D198</f>
        <v>208553657</v>
      </c>
      <c r="E212" s="79">
        <f>D212/C212</f>
        <v>0.9300523111024522</v>
      </c>
      <c r="F212" s="70">
        <f>F75+F81+F89+F93+F96+F103+F118+F126+F145+F173+F191+F195+F198+F209+F211</f>
        <v>0</v>
      </c>
      <c r="G212" s="79">
        <f t="shared" si="49"/>
        <v>0.9300523111024522</v>
      </c>
      <c r="H212" s="70">
        <f>H75+H81+H89+H96+H103+H118+H126+H145+H173+H191+H195+H198</f>
        <v>0</v>
      </c>
      <c r="I212" s="70">
        <f>I75+I81+I89+I96+I103+I118+I126+I145+I173+I191+I195+I198</f>
        <v>275745376</v>
      </c>
      <c r="J212" s="70">
        <f>J75+J81+J89+J96+J103+J118+J126+J145+J173+J191+J195+J198</f>
        <v>229057145</v>
      </c>
      <c r="K212" s="79">
        <f t="shared" si="54"/>
        <v>0.8306835397305085</v>
      </c>
      <c r="L212" s="70">
        <f>L75+L81+L89+L96+L103+L118+L126+L145+L173+L191+L195+L198</f>
        <v>150000</v>
      </c>
      <c r="M212" s="70">
        <f>M75+M81+M89+M96+M103+M118+M126+M145+M173+M191+M195+M198</f>
        <v>163604873</v>
      </c>
      <c r="N212" s="70">
        <f>N75+N81+N89+N96+N103+N118+N126+N145+N173+N191+N195+N198</f>
        <v>56376681</v>
      </c>
      <c r="O212" s="118">
        <f t="shared" si="57"/>
        <v>0.3445904756149898</v>
      </c>
      <c r="P212" s="70">
        <f>P75+P81+P89+P96+P103+P118+P126+P145+P173+P191+P195+P198</f>
        <v>-800403</v>
      </c>
      <c r="Q212" s="70"/>
      <c r="R212" s="70">
        <f>R75+R81+R89+R96+R103+R118+R126+R145+R173+R191+R195+R198</f>
        <v>162804470</v>
      </c>
      <c r="S212" s="79">
        <f t="shared" si="47"/>
        <v>2.8877980596268165</v>
      </c>
      <c r="T212" s="70">
        <f t="shared" si="48"/>
        <v>106427789</v>
      </c>
    </row>
    <row r="213" spans="1:20" ht="20.25">
      <c r="A213" s="66"/>
      <c r="B213" s="128"/>
      <c r="C213" s="129"/>
      <c r="D213" s="129"/>
      <c r="E213" s="130"/>
      <c r="F213" s="129"/>
      <c r="G213" s="130"/>
      <c r="H213" s="129"/>
      <c r="I213" s="129"/>
      <c r="J213" s="129"/>
      <c r="K213" s="130"/>
      <c r="L213" s="129"/>
      <c r="M213" s="129"/>
      <c r="N213" s="129"/>
      <c r="O213" s="131"/>
      <c r="P213" s="129"/>
      <c r="Q213" s="129"/>
      <c r="R213" s="129"/>
      <c r="S213" s="130"/>
      <c r="T213" s="129"/>
    </row>
    <row r="214" spans="1:8" ht="15.75">
      <c r="A214" s="66"/>
      <c r="B214" s="3" t="s">
        <v>132</v>
      </c>
      <c r="C214" s="2"/>
      <c r="D214" s="2"/>
      <c r="F214" s="34" t="s">
        <v>88</v>
      </c>
      <c r="G214" s="34"/>
      <c r="H214" s="34"/>
    </row>
    <row r="215" spans="1:8" ht="15.75">
      <c r="A215" s="66"/>
      <c r="B215" s="3" t="s">
        <v>150</v>
      </c>
      <c r="C215" s="35"/>
      <c r="F215" s="34" t="s">
        <v>89</v>
      </c>
      <c r="G215" s="34"/>
      <c r="H215" s="34"/>
    </row>
    <row r="216" spans="1:3" ht="15.75" hidden="1">
      <c r="A216" s="66"/>
      <c r="B216" s="36"/>
      <c r="C216" s="66"/>
    </row>
    <row r="217" spans="1:3" ht="15.75" hidden="1">
      <c r="A217" s="66"/>
      <c r="B217" s="37"/>
      <c r="C217" s="66"/>
    </row>
    <row r="218" spans="1:3" ht="15.75" hidden="1">
      <c r="A218" s="66"/>
      <c r="B218" s="33"/>
      <c r="C218" s="66"/>
    </row>
    <row r="219" spans="1:3" ht="15.75" hidden="1">
      <c r="A219" s="66"/>
      <c r="B219" s="33"/>
      <c r="C219" s="66"/>
    </row>
    <row r="220" ht="15.75">
      <c r="B220" s="123"/>
    </row>
    <row r="221" spans="1:19" ht="15.75">
      <c r="A221" s="66"/>
      <c r="B221" s="123" t="s">
        <v>170</v>
      </c>
      <c r="L221" s="56"/>
      <c r="N221" s="34" t="s">
        <v>171</v>
      </c>
      <c r="O221" s="124"/>
      <c r="P221" s="125"/>
      <c r="Q221" s="127"/>
      <c r="R221" s="126"/>
      <c r="S221" s="124"/>
    </row>
    <row r="222" spans="1:19" ht="15.75">
      <c r="A222" s="66"/>
      <c r="B222" s="123" t="s">
        <v>172</v>
      </c>
      <c r="N222" s="34" t="s">
        <v>173</v>
      </c>
      <c r="O222" s="124"/>
      <c r="P222" s="125"/>
      <c r="Q222" s="127"/>
      <c r="R222" s="124"/>
      <c r="S222" s="124"/>
    </row>
    <row r="223" ht="15.75">
      <c r="A223" s="66"/>
    </row>
    <row r="224" spans="2:3" ht="15.75">
      <c r="B224" s="33"/>
      <c r="C224" s="66"/>
    </row>
    <row r="225" spans="2:3" ht="15.75">
      <c r="B225" s="33"/>
      <c r="C225" s="66"/>
    </row>
    <row r="226" spans="2:3" ht="15.75" hidden="1">
      <c r="B226" s="33"/>
      <c r="C226" s="66"/>
    </row>
    <row r="227" spans="2:3" ht="15.75" hidden="1">
      <c r="B227" s="33"/>
      <c r="C227" s="66"/>
    </row>
    <row r="228" spans="2:3" ht="15.75" hidden="1">
      <c r="B228" s="33"/>
      <c r="C228" s="66"/>
    </row>
    <row r="229" spans="2:3" ht="15.75">
      <c r="B229" s="33"/>
      <c r="C229" s="66"/>
    </row>
    <row r="230" spans="2:3" ht="15.75">
      <c r="B230" s="33"/>
      <c r="C230" s="66"/>
    </row>
    <row r="232" ht="15.75">
      <c r="C232" s="66"/>
    </row>
    <row r="233" ht="15.75">
      <c r="C233" s="66"/>
    </row>
    <row r="234" ht="15.75">
      <c r="C234" s="66"/>
    </row>
    <row r="235" ht="15.75">
      <c r="C235" s="66"/>
    </row>
    <row r="236" ht="15.75">
      <c r="C236" s="66"/>
    </row>
    <row r="237" ht="15.75">
      <c r="C237" s="66"/>
    </row>
  </sheetData>
  <sheetProtection/>
  <printOptions/>
  <pageMargins left="0.7" right="0.7" top="0.75" bottom="0.75" header="0.3" footer="0.3"/>
  <pageSetup fitToHeight="3" fitToWidth="1" horizontalDpi="600" verticalDpi="600" orientation="landscape" paperSize="9" scale="64" r:id="rId1"/>
  <rowBreaks count="2" manualBreakCount="2">
    <brk id="142" min="1" max="17" man="1"/>
    <brk id="195" min="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2018-06-05T11:54:23Z</cp:lastPrinted>
  <dcterms:created xsi:type="dcterms:W3CDTF">2007-06-25T06:06:27Z</dcterms:created>
  <dcterms:modified xsi:type="dcterms:W3CDTF">2018-06-05T11:54:53Z</dcterms:modified>
  <cp:category/>
  <cp:version/>
  <cp:contentType/>
  <cp:contentStatus/>
</cp:coreProperties>
</file>